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comments2.xml" ContentType="application/vnd.openxmlformats-officedocument.spreadsheetml.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SLAB\"/>
    </mc:Choice>
  </mc:AlternateContent>
  <bookViews>
    <workbookView xWindow="0" yWindow="0" windowWidth="15330" windowHeight="8265" tabRatio="602" firstSheet="3" activeTab="4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30" i="31" l="1"/>
  <c r="C129" i="31"/>
  <c r="I125" i="31"/>
  <c r="I124" i="31"/>
  <c r="I123" i="31"/>
  <c r="I120" i="31"/>
  <c r="I121" i="31"/>
  <c r="I119" i="31"/>
  <c r="L124" i="31"/>
  <c r="L125" i="31"/>
  <c r="L119" i="31"/>
  <c r="J119" i="31"/>
  <c r="D119" i="31"/>
  <c r="L123" i="31"/>
  <c r="L121" i="31"/>
  <c r="L120" i="31"/>
  <c r="K125" i="31"/>
  <c r="K124" i="31"/>
  <c r="K123" i="31"/>
  <c r="K121" i="31"/>
  <c r="K120" i="31"/>
  <c r="K119" i="31"/>
  <c r="J125" i="31"/>
  <c r="J124" i="31"/>
  <c r="J123" i="31"/>
  <c r="J121" i="31"/>
  <c r="J120" i="31"/>
  <c r="C58" i="31"/>
  <c r="C56" i="31"/>
  <c r="H123" i="31"/>
  <c r="H124" i="31"/>
  <c r="H125" i="31"/>
  <c r="H121" i="31"/>
  <c r="H120" i="31"/>
  <c r="H119" i="31"/>
  <c r="D125" i="31"/>
  <c r="D124" i="31"/>
  <c r="D123" i="31"/>
  <c r="D121" i="31"/>
  <c r="D120" i="31"/>
  <c r="B125" i="31"/>
  <c r="B124" i="31"/>
  <c r="B123" i="31"/>
  <c r="B121" i="31"/>
  <c r="B120" i="31"/>
  <c r="B119" i="31"/>
  <c r="C114" i="31"/>
  <c r="C113" i="31"/>
  <c r="C108" i="31"/>
  <c r="C109" i="31"/>
  <c r="C110" i="31"/>
  <c r="C97" i="31"/>
  <c r="C92" i="31"/>
  <c r="C93" i="31" s="1"/>
  <c r="C90" i="31"/>
  <c r="C87" i="31"/>
  <c r="C85" i="31"/>
  <c r="B84" i="31"/>
  <c r="C86" i="31" s="1"/>
  <c r="C69" i="31"/>
  <c r="E68" i="31"/>
  <c r="C68" i="31"/>
  <c r="C67" i="31"/>
  <c r="C59" i="31"/>
  <c r="C51" i="31"/>
  <c r="C41" i="31"/>
  <c r="C27" i="31"/>
  <c r="C29" i="31" s="1"/>
  <c r="B17" i="31"/>
  <c r="B19" i="31"/>
  <c r="C23" i="31"/>
  <c r="C102" i="31" l="1"/>
  <c r="C103" i="31" s="1"/>
  <c r="C95" i="31"/>
  <c r="C96" i="31" s="1"/>
  <c r="C101" i="31"/>
  <c r="C33" i="31"/>
  <c r="C57" i="31" s="1"/>
  <c r="C32" i="31"/>
  <c r="C38" i="31"/>
  <c r="C39" i="31" s="1"/>
  <c r="C48" i="31" l="1"/>
  <c r="C49" i="31" s="1"/>
  <c r="C50" i="31"/>
  <c r="C53" i="31" s="1"/>
  <c r="C61" i="3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7" i="8" l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A6" i="8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comments2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D76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7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</commentList>
</comments>
</file>

<file path=xl/sharedStrings.xml><?xml version="1.0" encoding="utf-8"?>
<sst xmlns="http://schemas.openxmlformats.org/spreadsheetml/2006/main" count="769" uniqueCount="486">
  <si>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</si>
  <si>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</si>
  <si>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</si>
  <si>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</si>
  <si>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</si>
  <si>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</si>
  <si>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</si>
  <si>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</si>
  <si>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</si>
  <si>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</si>
  <si>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</si>
  <si>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</si>
  <si>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</si>
  <si>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</si>
  <si>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</si>
  <si>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</si>
  <si>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</si>
  <si>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</si>
  <si>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</si>
  <si>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</si>
  <si>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</si>
  <si>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</si>
  <si>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</si>
  <si>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</si>
  <si>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</si>
  <si>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</si>
  <si>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</si>
  <si>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</si>
  <si>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</si>
  <si>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</si>
  <si>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</si>
  <si>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</si>
  <si>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</si>
  <si>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</si>
  <si>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</si>
  <si>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</si>
  <si>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</si>
  <si>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</si>
  <si>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</si>
  <si>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</si>
  <si>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</si>
  <si>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</si>
  <si>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</si>
  <si>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</si>
  <si>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</si>
  <si>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</si>
  <si>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</si>
  <si>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</si>
  <si>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</si>
  <si>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</si>
  <si>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</si>
  <si>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</si>
  <si>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</si>
  <si>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</si>
  <si>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</si>
  <si>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</si>
  <si>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</si>
  <si>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</si>
  <si>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</si>
  <si>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</si>
  <si>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</si>
  <si>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</si>
  <si>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</si>
  <si>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</si>
  <si>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</si>
  <si>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</si>
  <si>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</si>
  <si>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</si>
  <si>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</si>
  <si>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</si>
  <si>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</si>
  <si>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</si>
  <si>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</si>
  <si>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SHEAR[+/-]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</si>
  <si>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</si>
  <si>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</si>
  <si>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</si>
  <si>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</si>
  <si>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</si>
  <si>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</si>
  <si>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</si>
  <si>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</si>
  <si>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</si>
  <si>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</si>
  <si>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</si>
  <si>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</si>
  <si>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</si>
  <si>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 xml:space="preserve">                        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</si>
  <si>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</si>
  <si>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</si>
  <si>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</si>
  <si>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</si>
  <si>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</si>
  <si>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</si>
  <si>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</si>
  <si>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</si>
  <si>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</si>
  <si>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</si>
  <si>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</si>
  <si>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</si>
  <si>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</si>
  <si>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</si>
  <si>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</si>
  <si>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</si>
  <si>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</si>
  <si>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</si>
  <si>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</si>
  <si>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</si>
  <si>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</si>
  <si>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</si>
  <si>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</si>
  <si>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</si>
  <si>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</si>
  <si>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</si>
  <si>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</si>
  <si>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</si>
  <si>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</si>
  <si>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</si>
  <si>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</si>
  <si>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</si>
  <si>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</si>
  <si>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COLUMN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</si>
  <si>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</si>
  <si>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</si>
  <si>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</si>
  <si>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</si>
  <si>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</si>
  <si>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</si>
  <si>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</si>
  <si>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</si>
  <si>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</si>
  <si>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</si>
  <si>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</si>
  <si>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</si>
  <si>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</si>
  <si>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</si>
  <si>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</si>
  <si>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</si>
  <si>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</si>
  <si>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</si>
  <si>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</si>
  <si>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</si>
  <si>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</si>
  <si>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</si>
  <si>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</si>
  <si>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</si>
  <si>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</si>
  <si>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</si>
  <si>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</si>
  <si>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</si>
  <si>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</si>
  <si>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</si>
  <si>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</si>
  <si>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</si>
  <si>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</si>
  <si>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</si>
  <si>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</si>
  <si>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</si>
  <si>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</si>
  <si>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</si>
  <si>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</si>
  <si>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</si>
  <si>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</si>
  <si>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</si>
  <si>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</si>
  <si>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</si>
  <si>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</si>
  <si>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</si>
  <si>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</si>
  <si>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</si>
  <si>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</si>
  <si>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</si>
  <si>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</si>
  <si>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</si>
  <si>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</si>
  <si>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</si>
  <si>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</si>
  <si>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</si>
  <si>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</si>
  <si>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</si>
  <si>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</si>
  <si>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</si>
  <si>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</si>
  <si>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</si>
  <si>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</si>
  <si>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</si>
  <si>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</si>
  <si>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</si>
  <si>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</si>
  <si>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</si>
  <si>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</si>
  <si>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</si>
  <si>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</si>
  <si>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</si>
  <si>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</si>
  <si>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</si>
  <si>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</si>
  <si>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</si>
  <si>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</si>
  <si>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</si>
  <si>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</si>
  <si>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</si>
  <si>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</si>
  <si>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</si>
  <si>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</si>
  <si>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</si>
  <si>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</si>
  <si>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</si>
  <si>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</si>
  <si>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</si>
  <si>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</si>
  <si>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</si>
  <si>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</si>
  <si>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</si>
  <si>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</si>
  <si>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</si>
  <si>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</si>
  <si>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</si>
  <si>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</si>
  <si>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</si>
  <si>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</si>
  <si>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</si>
  <si>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</si>
  <si>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</si>
  <si>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</si>
  <si>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</si>
  <si>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</si>
  <si>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</si>
  <si>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</si>
  <si>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</si>
  <si>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</si>
  <si>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</si>
  <si>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</si>
  <si>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</si>
  <si>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</si>
  <si>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IS 456 WALL TEST CASE IN DESIGN +</t>
  </si>
  <si>
    <t>Algorithem</t>
  </si>
  <si>
    <t>Check</t>
  </si>
  <si>
    <t xml:space="preserve">Design </t>
  </si>
  <si>
    <t>No Changes in Check Mode</t>
  </si>
  <si>
    <t>The cross-section of the beam is applied to the calculation of minimum thickness of slab.</t>
  </si>
  <si>
    <t xml:space="preserve">Type-A" or "Type-B", rebar amount by the combination of the X1(Y1)/X2(Y2) is applied to the negative moment calculation and rebar amount by the combination of the X2(Y2)/X3(Y3) </t>
  </si>
  <si>
    <t>Adequate depths provided for deflection control</t>
  </si>
  <si>
    <t xml:space="preserve">IS456:2000 SLAB CODE PROVISIONS              </t>
  </si>
  <si>
    <r>
      <t>Structural Frames</t>
    </r>
    <r>
      <rPr>
        <sz val="11"/>
        <color rgb="FF000000"/>
        <rFont val="Calibri"/>
        <family val="2"/>
      </rPr>
      <t xml:space="preserve">       </t>
    </r>
  </si>
  <si>
    <t xml:space="preserve">  [IS456:2000 22.4]</t>
  </si>
  <si>
    <t>Assumptions</t>
  </si>
  <si>
    <t>Thickness of oneway slab base on supporting conditions</t>
  </si>
  <si>
    <t xml:space="preserve">  [IS456:2000 22.4.1 b]</t>
  </si>
  <si>
    <t>Load = DL + LL</t>
  </si>
  <si>
    <t>LiveLoad  &lt;=  3/4 DeadLoad  -&gt;</t>
  </si>
  <si>
    <t>Moment and Shear Coefficients for continuous Beam</t>
  </si>
  <si>
    <t>Shear Multiplying factor for slab</t>
  </si>
  <si>
    <t>[IS456:2000 40.2.1.1]</t>
  </si>
  <si>
    <t xml:space="preserve">Design Shear Strength of Concrete Tc Formula </t>
  </si>
  <si>
    <t>(400/d) &lt; 1</t>
  </si>
  <si>
    <r>
      <rPr>
        <b/>
        <sz val="11"/>
        <color theme="1"/>
        <rFont val="Arial"/>
        <family val="2"/>
      </rPr>
      <t>k=(400/d)^</t>
    </r>
    <r>
      <rPr>
        <b/>
        <sz val="9"/>
        <color theme="1"/>
        <rFont val="Arial"/>
        <family val="2"/>
      </rPr>
      <t>(1/4)</t>
    </r>
  </si>
  <si>
    <t xml:space="preserve">Max Shear Stress  TcMax Formula </t>
  </si>
  <si>
    <t>Solid Slab Nominal shear stress shall not exceed half of table 20 Value</t>
  </si>
  <si>
    <t>[IS456:2000 40.2.3.1]</t>
  </si>
  <si>
    <t>Tv &lt;= 1/2 Tcmax</t>
  </si>
  <si>
    <t>[IS456:2000 26.5.1.6]</t>
  </si>
  <si>
    <t>[IS456:2000 23.2.1]</t>
  </si>
  <si>
    <t xml:space="preserve">Span/ Depth ratios </t>
  </si>
  <si>
    <t>One way slab</t>
  </si>
  <si>
    <t>Two way slab</t>
  </si>
  <si>
    <t>[IS456:2000 24.1]</t>
  </si>
  <si>
    <t xml:space="preserve">Nominal Cover  </t>
  </si>
  <si>
    <t>Calculate Moment Capasity of Slab</t>
  </si>
  <si>
    <t>[IS456:2000 Annex G 1.1]</t>
  </si>
  <si>
    <t>Min reinforcement</t>
  </si>
  <si>
    <t>0.15 b d</t>
  </si>
  <si>
    <t>For   Fe 250</t>
  </si>
  <si>
    <t>0.12 b d</t>
  </si>
  <si>
    <t>For   Fe 415 or +</t>
  </si>
  <si>
    <t>[IS456:2000 26.5.2.1]</t>
  </si>
  <si>
    <t>[IS456:2000 26.5.2.2]</t>
  </si>
  <si>
    <t>Dia &lt;= 1/8 x t</t>
  </si>
  <si>
    <t>t = thickness of slab</t>
  </si>
  <si>
    <t xml:space="preserve">Spacing Steel </t>
  </si>
  <si>
    <t>&lt;=5t</t>
  </si>
  <si>
    <t>&lt;= 3t</t>
  </si>
  <si>
    <t>[IS456:2000 26.3.3]</t>
  </si>
  <si>
    <t xml:space="preserve">Main Steel  Min of below </t>
  </si>
  <si>
    <t>Secondary steel Min of below</t>
  </si>
  <si>
    <t xml:space="preserve">                   </t>
  </si>
  <si>
    <t xml:space="preserve">Partial Safety Factor for Loads </t>
  </si>
  <si>
    <t>[IS456:2000 Table 18]</t>
  </si>
  <si>
    <t>1.5(DL + LL)</t>
  </si>
  <si>
    <r>
      <t xml:space="preserve">15mm </t>
    </r>
    <r>
      <rPr>
        <sz val="11"/>
        <color theme="1"/>
        <rFont val="Arial"/>
        <family val="2"/>
      </rPr>
      <t>or</t>
    </r>
    <r>
      <rPr>
        <b/>
        <sz val="11"/>
        <color theme="1"/>
        <rFont val="Arial"/>
        <family val="2"/>
      </rPr>
      <t xml:space="preserve"> Diameter of Bar</t>
    </r>
  </si>
  <si>
    <t>[IS456:2000 26.4.1]</t>
  </si>
  <si>
    <t>ONEWAY SLAB</t>
  </si>
  <si>
    <r>
      <t>DL</t>
    </r>
    <r>
      <rPr>
        <sz val="8"/>
        <color theme="1"/>
        <rFont val="Arial"/>
        <family val="2"/>
      </rPr>
      <t xml:space="preserve">  </t>
    </r>
    <r>
      <rPr>
        <sz val="11"/>
        <color theme="1"/>
        <rFont val="Arial"/>
        <family val="2"/>
      </rPr>
      <t>=</t>
    </r>
  </si>
  <si>
    <t>LL  =</t>
  </si>
  <si>
    <t>Total depth =</t>
  </si>
  <si>
    <t>kN/m2</t>
  </si>
  <si>
    <t xml:space="preserve">ll/dl = </t>
  </si>
  <si>
    <t>x/d</t>
  </si>
  <si>
    <t>d  =</t>
  </si>
  <si>
    <t>d=span/26=</t>
  </si>
  <si>
    <t>[IS456:2000 23.2.1.4]</t>
  </si>
  <si>
    <t>Provided d is grater then d O.K</t>
  </si>
  <si>
    <t>Check load ration</t>
  </si>
  <si>
    <t>LL/DL less than 0.75 O.K</t>
  </si>
  <si>
    <t>[IS456:2000 22.4.1 b]</t>
  </si>
  <si>
    <t>Design Factored Load</t>
  </si>
  <si>
    <t>Span Load =</t>
  </si>
  <si>
    <t>At Support</t>
  </si>
  <si>
    <t>At Span</t>
  </si>
  <si>
    <t>kN/m width</t>
  </si>
  <si>
    <t xml:space="preserve">Ultimate Moment </t>
  </si>
  <si>
    <t>[IS456:2000Table 12]</t>
  </si>
  <si>
    <t xml:space="preserve">V = </t>
  </si>
  <si>
    <t>Tc(min) =</t>
  </si>
  <si>
    <t>[IS456:2000Table 19]</t>
  </si>
  <si>
    <t>For 0.15 min steel</t>
  </si>
  <si>
    <t xml:space="preserve">Tv = </t>
  </si>
  <si>
    <t>Tv &lt; Tc No shear is required</t>
  </si>
  <si>
    <t>Tcmax =</t>
  </si>
  <si>
    <t>x/d=</t>
  </si>
  <si>
    <t>z =</t>
  </si>
  <si>
    <t xml:space="preserve">As = </t>
  </si>
  <si>
    <t>End Steel or Support steel</t>
  </si>
  <si>
    <t>Steel for Provided Moment</t>
  </si>
  <si>
    <t>Mid Steel or Steel in span</t>
  </si>
  <si>
    <t>Asmin =</t>
  </si>
  <si>
    <t>S =</t>
  </si>
  <si>
    <t>Dia =</t>
  </si>
  <si>
    <t xml:space="preserve">Check for crack </t>
  </si>
  <si>
    <t xml:space="preserve">Spacing  </t>
  </si>
  <si>
    <t>or</t>
  </si>
  <si>
    <t>Diameter</t>
  </si>
  <si>
    <t>&lt;</t>
  </si>
  <si>
    <t>TWOWAY SLAB</t>
  </si>
  <si>
    <t>Steel area must be grater than</t>
  </si>
  <si>
    <r>
      <rPr>
        <b/>
        <sz val="11"/>
        <color theme="1"/>
        <rFont val="Arial"/>
        <family val="2"/>
      </rPr>
      <t>TwoWay Slab</t>
    </r>
    <r>
      <rPr>
        <sz val="11"/>
        <color theme="1"/>
        <rFont val="Arial"/>
        <family val="2"/>
      </rPr>
      <t xml:space="preserve">  </t>
    </r>
  </si>
  <si>
    <t>[IS456:2000 Annex D]</t>
  </si>
  <si>
    <t xml:space="preserve">Maximum Bending momen Per Unit width in a Slab </t>
  </si>
  <si>
    <t>[IS456:2000 Annex D-1.1]</t>
  </si>
  <si>
    <t>When Corners of slab are prevented from lifting</t>
  </si>
  <si>
    <t>Middle strip   3/4 lx</t>
  </si>
  <si>
    <t xml:space="preserve">   1/8 ly</t>
  </si>
  <si>
    <t xml:space="preserve">   3/4 ly</t>
  </si>
  <si>
    <t>End   strip     1/8 lx</t>
  </si>
  <si>
    <t>[IS456:2000 Annex D-1.2]</t>
  </si>
  <si>
    <t>Ly/Lx   &lt;=  2     TwoWay Slab</t>
  </si>
  <si>
    <t>Ly/Lx   &gt;  2       OneWay Slab</t>
  </si>
  <si>
    <t>Simply Supported Slabs</t>
  </si>
  <si>
    <t>CORNER REINFORCEMENT FOR TWO WAY SLAB</t>
  </si>
  <si>
    <t>DISCONTINEOUS ON BOTH SIDE</t>
  </si>
  <si>
    <t>Ast  =  3/4 Ast(Maxmoment)</t>
  </si>
  <si>
    <t>Provide for Lx/5 length</t>
  </si>
  <si>
    <t>Ast  =  3/4 Ast(Maxmoment)/2</t>
  </si>
  <si>
    <t>Provide on top and bottom both in x and y direction</t>
  </si>
  <si>
    <t>DISCONTINEOUS ON ONE SIDE</t>
  </si>
  <si>
    <t>[IS456:2000 Annex D-1.8]</t>
  </si>
  <si>
    <t>LOADING ON SUPPORTING BEAMS</t>
  </si>
  <si>
    <t>[IS456:2000 Annex 24.5]</t>
  </si>
  <si>
    <t>WX =  w Lx2/4</t>
  </si>
  <si>
    <t>WY = 1/3(2-1/k)  w Lx                 k=Ly/Lx</t>
  </si>
  <si>
    <t>Critical Section For Shear in Slab</t>
  </si>
  <si>
    <t>v vo - w'(d +b/2)</t>
  </si>
  <si>
    <t>w1 average load</t>
  </si>
  <si>
    <t>d effective depth slab</t>
  </si>
  <si>
    <t>b breadth of beam</t>
  </si>
  <si>
    <t>Controle Deflection using  Min Percentage of steel + Max diameter of bar + span/defection.</t>
  </si>
  <si>
    <t>dactual =</t>
  </si>
  <si>
    <t>Min depth   =</t>
  </si>
  <si>
    <t>h =</t>
  </si>
  <si>
    <t>Tyoe of Slab Ly/Lx =</t>
  </si>
  <si>
    <t>TwoWay Slab</t>
  </si>
  <si>
    <t>Design Load =</t>
  </si>
  <si>
    <t>w =</t>
  </si>
  <si>
    <t>kN/m3</t>
  </si>
  <si>
    <t>Tv =</t>
  </si>
  <si>
    <t>Tc =</t>
  </si>
  <si>
    <t>[IS456:2000 23]</t>
  </si>
  <si>
    <t>For min Steel</t>
  </si>
  <si>
    <t>Bending Moment</t>
  </si>
  <si>
    <t>M=Bwl2  =</t>
  </si>
  <si>
    <t>Two adjecent edge discontineous</t>
  </si>
  <si>
    <t>[IS456:2000 Table 26]</t>
  </si>
  <si>
    <t xml:space="preserve">  -iv contineous edge</t>
  </si>
  <si>
    <t xml:space="preserve">  +iv mid span</t>
  </si>
  <si>
    <t>N-m</t>
  </si>
  <si>
    <t xml:space="preserve">  -iv discontinuous edge half mid span</t>
  </si>
  <si>
    <t>[IS456:2000 Annex D 1.6]</t>
  </si>
  <si>
    <t>M=Bwl2/2  =</t>
  </si>
  <si>
    <t>SHORT DIRECTION</t>
  </si>
  <si>
    <t>LONG DIRECTION</t>
  </si>
  <si>
    <t>Min Area steel =</t>
  </si>
  <si>
    <t>Max Spacing =</t>
  </si>
  <si>
    <t xml:space="preserve"> or </t>
  </si>
  <si>
    <t>M/bd2</t>
  </si>
  <si>
    <t>Shortspan</t>
  </si>
  <si>
    <t>Longspan</t>
  </si>
  <si>
    <t>-</t>
  </si>
  <si>
    <t>+</t>
  </si>
  <si>
    <t>p  sp16</t>
  </si>
  <si>
    <t>As (mm2)</t>
  </si>
  <si>
    <t>M  ( kN-m )</t>
  </si>
  <si>
    <t>z</t>
  </si>
  <si>
    <t>As(mm2)</t>
  </si>
  <si>
    <t>As min (mm2)</t>
  </si>
  <si>
    <t xml:space="preserve">Corner Steel    </t>
  </si>
  <si>
    <t>As =</t>
  </si>
  <si>
    <t>Both directions X and Y</t>
  </si>
  <si>
    <t>Distance  =</t>
  </si>
  <si>
    <t>Provide 1m x 1m</t>
  </si>
  <si>
    <t>Design surface Crack Width</t>
  </si>
  <si>
    <t>For Appearance Condition Crack Width Not Exceed  0.3 mm</t>
  </si>
  <si>
    <t>For Moderate Exposer Condition Crack Width Not Exceed  0.2 mm</t>
  </si>
  <si>
    <t>For Severe Exposer Condition Crack Width Not Exceed  0.1 mm</t>
  </si>
  <si>
    <t>For Aggressive  Condition Crack width not Exceed 0.004 mm</t>
  </si>
  <si>
    <r>
      <rPr>
        <b/>
        <sz val="11"/>
        <color theme="1"/>
        <rFont val="Arial"/>
        <family val="2"/>
      </rPr>
      <t>Cracking Limits</t>
    </r>
    <r>
      <rPr>
        <b/>
        <sz val="9.5"/>
        <color theme="1"/>
        <rFont val="Times New Roman"/>
        <family val="1"/>
      </rPr>
      <t xml:space="preserve"> </t>
    </r>
  </si>
  <si>
    <t>Deflection Factor</t>
  </si>
  <si>
    <t>Minimum Thickness required (mm)</t>
  </si>
  <si>
    <t>Obtain Deflection</t>
  </si>
  <si>
    <t>Deflection Limit</t>
  </si>
  <si>
    <t>OneWay</t>
  </si>
  <si>
    <t>TwoWay</t>
  </si>
  <si>
    <t>a</t>
  </si>
  <si>
    <t>Minimum Area of steeel</t>
  </si>
  <si>
    <t>Max spacing</t>
  </si>
  <si>
    <t>Max Dia</t>
  </si>
  <si>
    <t>Y</t>
  </si>
  <si>
    <t>X</t>
  </si>
  <si>
    <t>[IS456:2000  22.6]</t>
  </si>
  <si>
    <t>crack moment of section</t>
  </si>
  <si>
    <t xml:space="preserve">fr = 0.7f'c    </t>
  </si>
  <si>
    <r>
      <t xml:space="preserve">[IS456:2000 </t>
    </r>
    <r>
      <rPr>
        <b/>
        <sz val="9.5"/>
        <color theme="1"/>
        <rFont val="Times New Roman"/>
        <family val="1"/>
      </rPr>
      <t>35.3.2]</t>
    </r>
    <r>
      <rPr>
        <sz val="9.5"/>
        <color theme="1"/>
        <rFont val="Times New Roman"/>
        <family val="1"/>
      </rPr>
      <t xml:space="preserve">          </t>
    </r>
  </si>
  <si>
    <t>[IS456:2000 23.2  a]</t>
  </si>
  <si>
    <t>[IS456:2000 23.2 b ]</t>
  </si>
  <si>
    <t>[IS456:2000 6.2.2]</t>
  </si>
  <si>
    <t>[IS456:2000 AnnexC-2.1]</t>
  </si>
  <si>
    <t xml:space="preserve">  Mcr =fr Ig  yt    </t>
  </si>
  <si>
    <t xml:space="preserve">Ie=Ir 1.2-Mr z M d bw b (1 - x d)  </t>
  </si>
  <si>
    <t>Shrinkage Deflection</t>
  </si>
  <si>
    <t>Creep Deflection</t>
  </si>
  <si>
    <t>[IS456:2000 AnnexC-3]</t>
  </si>
  <si>
    <t>[IS456:2000 AnnexC-4]</t>
  </si>
  <si>
    <t>OneWay Slab</t>
  </si>
  <si>
    <t>Change Mid and End Span as per IS456:2000</t>
  </si>
  <si>
    <t>Spacing/SpacingCrackLimit</t>
  </si>
  <si>
    <t>Max Spacing Limit  for Crack Control</t>
  </si>
  <si>
    <t>Effective span</t>
  </si>
  <si>
    <t>[IS456:2000 22.2]</t>
  </si>
  <si>
    <t xml:space="preserve">Lesser of </t>
  </si>
  <si>
    <t xml:space="preserve"> (ii) centre to centre of supports</t>
  </si>
  <si>
    <t xml:space="preserve"> (i) clear span + effective depth of slab</t>
  </si>
  <si>
    <t>Simply supported</t>
  </si>
  <si>
    <t>Continuous when the width of the</t>
  </si>
  <si>
    <t>support is &lt; 1/12th of clear span</t>
  </si>
  <si>
    <t xml:space="preserve">Continuous when the width of the  support </t>
  </si>
  <si>
    <t xml:space="preserve">is &gt; lesser of 1/12 th  of clear  span or 600 mm </t>
  </si>
  <si>
    <t xml:space="preserve"> Clear span between the supports</t>
  </si>
  <si>
    <t xml:space="preserve">(i) for end span with one end fixed  and the </t>
  </si>
  <si>
    <t>other end continuous or for  intermediate spans</t>
  </si>
  <si>
    <t xml:space="preserve">(ii) for end span with one end free </t>
  </si>
  <si>
    <t>and  the other end continuous</t>
  </si>
  <si>
    <t>(ii) Lesser of</t>
  </si>
  <si>
    <t xml:space="preserve"> (a) clear span +  half the effective depth of slab, </t>
  </si>
  <si>
    <t>(b) clear span + half the  width of the discontinuous  suppor</t>
  </si>
  <si>
    <t>(iii) spans with roller or rocker bearings.</t>
  </si>
  <si>
    <t xml:space="preserve">(iii) The distance between the  centres of bearings </t>
  </si>
  <si>
    <t xml:space="preserve">   Cantilever  slab  at the end </t>
  </si>
  <si>
    <t xml:space="preserve">     of a  continuous slab .</t>
  </si>
  <si>
    <t>Length up to the centre of support</t>
  </si>
  <si>
    <t>Cantilever span</t>
  </si>
  <si>
    <t xml:space="preserve">Length up  to the face of the  support + half the effective  depth </t>
  </si>
  <si>
    <t>Frames</t>
  </si>
  <si>
    <t>Centre to centre distance</t>
  </si>
  <si>
    <t xml:space="preserve">Max reinforcemnt </t>
  </si>
  <si>
    <t>0.04 bD</t>
  </si>
  <si>
    <t>[Is 456 26.5.1.1]</t>
  </si>
  <si>
    <t xml:space="preserve">MOMENT AND SHEAR </t>
  </si>
  <si>
    <r>
      <t xml:space="preserve"> </t>
    </r>
    <r>
      <rPr>
        <sz val="9"/>
        <color rgb="FF000000"/>
        <rFont val="Calibri"/>
        <family val="2"/>
      </rPr>
      <t xml:space="preserve">Span/350 </t>
    </r>
  </si>
  <si>
    <t xml:space="preserve"> Span/250 </t>
  </si>
  <si>
    <t xml:space="preserve">Deflection </t>
  </si>
  <si>
    <t>ONEWAY</t>
  </si>
  <si>
    <t>TWOWAY</t>
  </si>
  <si>
    <t>DEFLECTION</t>
  </si>
  <si>
    <t>shear calculation</t>
  </si>
  <si>
    <t>SLAB</t>
  </si>
  <si>
    <t xml:space="preserve">SLAB_IS456:2000  SPECIFICATIONS </t>
  </si>
  <si>
    <t xml:space="preserve">   [IS456:2000 22.5]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</si>
</sst>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b/>
      <sz val="9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9"/>
      <color rgb="FF000000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0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8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26" fillId="0" borderId="0" xfId="0" applyFont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8" fillId="7" borderId="0" xfId="0" applyFont="1" applyFill="1" applyBorder="1"/>
    <xf numFmtId="0" fontId="29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14" xfId="0" applyFill="1" applyBorder="1"/>
    <xf numFmtId="0" fontId="0" fillId="13" borderId="0" xfId="0" applyFill="1" applyBorder="1"/>
    <xf numFmtId="0" fontId="0" fillId="13" borderId="0" xfId="0" applyFont="1" applyFill="1" applyBorder="1"/>
    <xf numFmtId="0" fontId="15" fillId="13" borderId="0" xfId="0" applyFont="1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23" fillId="0" borderId="0" xfId="0" applyFont="1" applyFill="1" applyBorder="1"/>
    <xf numFmtId="0" fontId="0" fillId="0" borderId="0" xfId="0" applyAlignment="1">
      <alignment horizontal="center" vertical="center"/>
    </xf>
    <xf numFmtId="0" fontId="10" fillId="8" borderId="17" xfId="0" applyFont="1" applyFill="1" applyBorder="1"/>
    <xf numFmtId="0" fontId="0" fillId="0" borderId="0" xfId="0" applyFill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0" fillId="0" borderId="18" xfId="0" applyFont="1" applyFill="1" applyBorder="1"/>
    <xf numFmtId="0" fontId="0" fillId="0" borderId="18" xfId="0" applyFont="1" applyBorder="1" applyAlignment="1">
      <alignment horizontal="left" vertical="top"/>
    </xf>
    <xf numFmtId="0" fontId="19" fillId="0" borderId="18" xfId="0" applyFont="1" applyBorder="1" applyAlignment="1">
      <alignment horizontal="left" vertical="center"/>
    </xf>
    <xf numFmtId="0" fontId="0" fillId="0" borderId="19" xfId="0" applyBorder="1"/>
    <xf numFmtId="0" fontId="0" fillId="0" borderId="20" xfId="0" applyFill="1" applyBorder="1"/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33" fillId="0" borderId="0" xfId="0" applyFont="1"/>
    <xf numFmtId="0" fontId="19" fillId="0" borderId="0" xfId="0" applyFont="1"/>
    <xf numFmtId="0" fontId="10" fillId="7" borderId="0" xfId="0" applyFont="1" applyFill="1"/>
    <xf numFmtId="0" fontId="3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6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8" xfId="2" applyFont="1" applyFill="1" applyBorder="1" applyAlignment="1">
      <alignment horizontal="center" vertical="center"/>
    </xf>
    <xf numFmtId="0" fontId="6" fillId="14" borderId="26" xfId="2" applyFont="1" applyFill="1" applyBorder="1" applyAlignment="1">
      <alignment horizontal="center" vertical="center"/>
    </xf>
    <xf numFmtId="0" fontId="6" fillId="14" borderId="35" xfId="2" applyFont="1" applyFill="1" applyBorder="1" applyAlignment="1">
      <alignment horizontal="center" vertical="center"/>
    </xf>
    <xf numFmtId="0" fontId="6" fillId="14" borderId="34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5" fillId="5" borderId="37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4" fillId="13" borderId="20" xfId="1" applyFont="1" applyFill="1" applyBorder="1" applyAlignment="1">
      <alignment horizontal="center" vertical="center"/>
    </xf>
    <xf numFmtId="0" fontId="4" fillId="13" borderId="18" xfId="1" applyFont="1" applyFill="1" applyBorder="1" applyAlignment="1">
      <alignment horizontal="center" vertical="center"/>
    </xf>
    <xf numFmtId="0" fontId="4" fillId="13" borderId="19" xfId="1" applyFont="1" applyFill="1" applyBorder="1" applyAlignment="1">
      <alignment horizontal="center" vertical="center"/>
    </xf>
    <xf numFmtId="0" fontId="4" fillId="13" borderId="14" xfId="1" applyFont="1" applyFill="1" applyBorder="1" applyAlignment="1">
      <alignment horizontal="center" vertical="center"/>
    </xf>
    <xf numFmtId="0" fontId="4" fillId="13" borderId="0" xfId="1" applyFont="1" applyFill="1" applyBorder="1" applyAlignment="1">
      <alignment horizontal="center" vertical="center"/>
    </xf>
    <xf numFmtId="0" fontId="4" fillId="13" borderId="13" xfId="1" applyFont="1" applyFill="1" applyBorder="1" applyAlignment="1">
      <alignment horizontal="center" vertical="center"/>
    </xf>
    <xf numFmtId="0" fontId="4" fillId="13" borderId="12" xfId="1" applyFont="1" applyFill="1" applyBorder="1" applyAlignment="1">
      <alignment horizontal="center" vertical="center"/>
    </xf>
    <xf numFmtId="0" fontId="4" fillId="13" borderId="11" xfId="1" applyFont="1" applyFill="1" applyBorder="1" applyAlignment="1">
      <alignment horizontal="center" vertical="center"/>
    </xf>
    <xf numFmtId="0" fontId="4" fillId="13" borderId="10" xfId="1" applyFont="1" applyFill="1" applyBorder="1" applyAlignment="1">
      <alignment horizontal="center" vertical="center"/>
    </xf>
    <xf numFmtId="0" fontId="5" fillId="7" borderId="27" xfId="0" applyFont="1" applyFill="1" applyBorder="1" applyAlignment="1">
      <alignment horizont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110.png"/><Relationship Id="rId18" Type="http://schemas.openxmlformats.org/officeDocument/2006/relationships/image" Target="../media/image114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3.png"/><Relationship Id="rId2" Type="http://schemas.openxmlformats.org/officeDocument/2006/relationships/image" Target="../media/image99.png"/><Relationship Id="rId16" Type="http://schemas.openxmlformats.org/officeDocument/2006/relationships/image" Target="../media/image76.png"/><Relationship Id="rId20" Type="http://schemas.openxmlformats.org/officeDocument/2006/relationships/image" Target="../media/image116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2.png"/><Relationship Id="rId10" Type="http://schemas.openxmlformats.org/officeDocument/2006/relationships/image" Target="../media/image107.png"/><Relationship Id="rId19" Type="http://schemas.openxmlformats.org/officeDocument/2006/relationships/image" Target="../media/image115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1.png"/><Relationship Id="rId3" Type="http://schemas.openxmlformats.org/officeDocument/2006/relationships/image" Target="../media/image105.png"/><Relationship Id="rId7" Type="http://schemas.openxmlformats.org/officeDocument/2006/relationships/image" Target="../media/image120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5" Type="http://schemas.openxmlformats.org/officeDocument/2006/relationships/image" Target="../media/image116.png"/><Relationship Id="rId10" Type="http://schemas.openxmlformats.org/officeDocument/2006/relationships/image" Target="../media/image123.png"/><Relationship Id="rId4" Type="http://schemas.openxmlformats.org/officeDocument/2006/relationships/image" Target="../media/image115.png"/><Relationship Id="rId9" Type="http://schemas.openxmlformats.org/officeDocument/2006/relationships/image" Target="../media/image122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12" Type="http://schemas.openxmlformats.org/officeDocument/2006/relationships/image" Target="../media/image136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11" Type="http://schemas.openxmlformats.org/officeDocument/2006/relationships/image" Target="../media/image135.png"/><Relationship Id="rId5" Type="http://schemas.openxmlformats.org/officeDocument/2006/relationships/image" Target="../media/image129.png"/><Relationship Id="rId10" Type="http://schemas.openxmlformats.org/officeDocument/2006/relationships/image" Target="../media/image134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9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4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2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9" Type="http://schemas.openxmlformats.org/officeDocument/2006/relationships/image" Target="../media/image49.png"/><Relationship Id="rId21" Type="http://schemas.openxmlformats.org/officeDocument/2006/relationships/image" Target="../media/image31.png"/><Relationship Id="rId34" Type="http://schemas.openxmlformats.org/officeDocument/2006/relationships/image" Target="../media/image44.png"/><Relationship Id="rId42" Type="http://schemas.openxmlformats.org/officeDocument/2006/relationships/image" Target="../media/image52.png"/><Relationship Id="rId47" Type="http://schemas.openxmlformats.org/officeDocument/2006/relationships/image" Target="../media/image57.png"/><Relationship Id="rId50" Type="http://schemas.openxmlformats.org/officeDocument/2006/relationships/image" Target="../media/image60.png"/><Relationship Id="rId55" Type="http://schemas.openxmlformats.org/officeDocument/2006/relationships/image" Target="../media/image65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33" Type="http://schemas.openxmlformats.org/officeDocument/2006/relationships/image" Target="../media/image43.png"/><Relationship Id="rId38" Type="http://schemas.openxmlformats.org/officeDocument/2006/relationships/image" Target="../media/image48.png"/><Relationship Id="rId46" Type="http://schemas.openxmlformats.org/officeDocument/2006/relationships/image" Target="../media/image56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29" Type="http://schemas.openxmlformats.org/officeDocument/2006/relationships/image" Target="../media/image39.png"/><Relationship Id="rId41" Type="http://schemas.openxmlformats.org/officeDocument/2006/relationships/image" Target="../media/image51.png"/><Relationship Id="rId54" Type="http://schemas.openxmlformats.org/officeDocument/2006/relationships/image" Target="../media/image64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32" Type="http://schemas.openxmlformats.org/officeDocument/2006/relationships/image" Target="../media/image42.png"/><Relationship Id="rId37" Type="http://schemas.openxmlformats.org/officeDocument/2006/relationships/image" Target="../media/image47.png"/><Relationship Id="rId40" Type="http://schemas.openxmlformats.org/officeDocument/2006/relationships/image" Target="../media/image50.png"/><Relationship Id="rId45" Type="http://schemas.openxmlformats.org/officeDocument/2006/relationships/image" Target="../media/image55.png"/><Relationship Id="rId53" Type="http://schemas.openxmlformats.org/officeDocument/2006/relationships/image" Target="../media/image63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28" Type="http://schemas.openxmlformats.org/officeDocument/2006/relationships/image" Target="../media/image38.png"/><Relationship Id="rId36" Type="http://schemas.openxmlformats.org/officeDocument/2006/relationships/image" Target="../media/image46.png"/><Relationship Id="rId49" Type="http://schemas.openxmlformats.org/officeDocument/2006/relationships/image" Target="../media/image59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31" Type="http://schemas.openxmlformats.org/officeDocument/2006/relationships/image" Target="../media/image41.png"/><Relationship Id="rId44" Type="http://schemas.openxmlformats.org/officeDocument/2006/relationships/image" Target="../media/image54.png"/><Relationship Id="rId52" Type="http://schemas.openxmlformats.org/officeDocument/2006/relationships/image" Target="../media/image62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Relationship Id="rId30" Type="http://schemas.openxmlformats.org/officeDocument/2006/relationships/image" Target="../media/image40.png"/><Relationship Id="rId35" Type="http://schemas.openxmlformats.org/officeDocument/2006/relationships/image" Target="../media/image45.png"/><Relationship Id="rId43" Type="http://schemas.openxmlformats.org/officeDocument/2006/relationships/image" Target="../media/image53.png"/><Relationship Id="rId48" Type="http://schemas.openxmlformats.org/officeDocument/2006/relationships/image" Target="../media/image58.png"/><Relationship Id="rId56" Type="http://schemas.openxmlformats.org/officeDocument/2006/relationships/image" Target="../media/image66.png"/><Relationship Id="rId8" Type="http://schemas.openxmlformats.org/officeDocument/2006/relationships/image" Target="../media/image18.png"/><Relationship Id="rId51" Type="http://schemas.openxmlformats.org/officeDocument/2006/relationships/image" Target="../media/image61.png"/><Relationship Id="rId3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0" Type="http://schemas.openxmlformats.org/officeDocument/2006/relationships/image" Target="../media/image86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3" Type="http://schemas.openxmlformats.org/officeDocument/2006/relationships/image" Target="../media/image69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67.png"/><Relationship Id="rId1" Type="http://schemas.openxmlformats.org/officeDocument/2006/relationships/image" Target="../media/image87.png"/><Relationship Id="rId6" Type="http://schemas.openxmlformats.org/officeDocument/2006/relationships/image" Target="../media/image81.png"/><Relationship Id="rId11" Type="http://schemas.openxmlformats.org/officeDocument/2006/relationships/image" Target="../media/image92.png"/><Relationship Id="rId5" Type="http://schemas.openxmlformats.org/officeDocument/2006/relationships/image" Target="../media/image74.png"/><Relationship Id="rId10" Type="http://schemas.openxmlformats.org/officeDocument/2006/relationships/image" Target="../media/image91.png"/><Relationship Id="rId4" Type="http://schemas.openxmlformats.org/officeDocument/2006/relationships/image" Target="../media/image70.png"/><Relationship Id="rId9" Type="http://schemas.openxmlformats.org/officeDocument/2006/relationships/image" Target="../media/image9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image" Target="../media/image94.png"/><Relationship Id="rId3" Type="http://schemas.openxmlformats.org/officeDocument/2006/relationships/image" Target="../media/image69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67.png"/><Relationship Id="rId1" Type="http://schemas.openxmlformats.org/officeDocument/2006/relationships/image" Target="../media/image87.png"/><Relationship Id="rId6" Type="http://schemas.openxmlformats.org/officeDocument/2006/relationships/image" Target="../media/image81.png"/><Relationship Id="rId11" Type="http://schemas.openxmlformats.org/officeDocument/2006/relationships/image" Target="../media/image92.png"/><Relationship Id="rId5" Type="http://schemas.openxmlformats.org/officeDocument/2006/relationships/image" Target="../media/image74.png"/><Relationship Id="rId10" Type="http://schemas.openxmlformats.org/officeDocument/2006/relationships/image" Target="../media/image91.png"/><Relationship Id="rId4" Type="http://schemas.openxmlformats.org/officeDocument/2006/relationships/image" Target="../media/image70.png"/><Relationship Id="rId9" Type="http://schemas.openxmlformats.org/officeDocument/2006/relationships/image" Target="../media/image9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553056</xdr:colOff>
      <xdr:row>20</xdr:row>
      <xdr:rowOff>159677</xdr:rowOff>
    </xdr:from>
    <xdr:to>
      <xdr:col>15</xdr:col>
      <xdr:colOff>45299</xdr:colOff>
      <xdr:row>147</xdr:row>
      <xdr:rowOff>169202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1787" y="3823139"/>
          <a:ext cx="9134474" cy="2327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352633</xdr:colOff>
      <xdr:row>156</xdr:row>
      <xdr:rowOff>139211</xdr:rowOff>
    </xdr:from>
    <xdr:to>
      <xdr:col>17</xdr:col>
      <xdr:colOff>353890</xdr:colOff>
      <xdr:row>229</xdr:row>
      <xdr:rowOff>167786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633" y="28714211"/>
          <a:ext cx="11709680" cy="13400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2" name="Straight Arrow Connector 1"/>
        <xdr:cNvCxnSpPr/>
      </xdr:nvCxnSpPr>
      <xdr:spPr>
        <a:xfrm flipV="1">
          <a:off x="6838950" y="1098331"/>
          <a:ext cx="0" cy="5918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3" name="Straight Arrow Connector 2"/>
        <xdr:cNvCxnSpPr/>
      </xdr:nvCxnSpPr>
      <xdr:spPr>
        <a:xfrm flipV="1">
          <a:off x="6829754" y="1683626"/>
          <a:ext cx="694997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63</xdr:row>
      <xdr:rowOff>88023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7" name="Straight Arrow Connector 6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10" name="Straight Arrow Connector 9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339327</xdr:colOff>
      <xdr:row>342</xdr:row>
      <xdr:rowOff>17859</xdr:rowOff>
    </xdr:from>
    <xdr:to>
      <xdr:col>5</xdr:col>
      <xdr:colOff>172640</xdr:colOff>
      <xdr:row>343</xdr:row>
      <xdr:rowOff>11906</xdr:rowOff>
    </xdr:to>
    <xdr:sp macro="" textlink="">
      <xdr:nvSpPr>
        <xdr:cNvPr id="22" name="Rectangle 21"/>
        <xdr:cNvSpPr/>
      </xdr:nvSpPr>
      <xdr:spPr>
        <a:xfrm>
          <a:off x="1708546" y="61096922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333374</xdr:colOff>
      <xdr:row>348</xdr:row>
      <xdr:rowOff>53579</xdr:rowOff>
    </xdr:from>
    <xdr:to>
      <xdr:col>5</xdr:col>
      <xdr:colOff>166687</xdr:colOff>
      <xdr:row>349</xdr:row>
      <xdr:rowOff>47625</xdr:rowOff>
    </xdr:to>
    <xdr:sp macro="" textlink="">
      <xdr:nvSpPr>
        <xdr:cNvPr id="23" name="Rectangle 22"/>
        <xdr:cNvSpPr/>
      </xdr:nvSpPr>
      <xdr:spPr>
        <a:xfrm>
          <a:off x="1702593" y="62204204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190500</xdr:colOff>
      <xdr:row>341</xdr:row>
      <xdr:rowOff>102904</xdr:rowOff>
    </xdr:from>
    <xdr:to>
      <xdr:col>4</xdr:col>
      <xdr:colOff>28064</xdr:colOff>
      <xdr:row>342</xdr:row>
      <xdr:rowOff>96950</xdr:rowOff>
    </xdr:to>
    <xdr:sp macro="" textlink="">
      <xdr:nvSpPr>
        <xdr:cNvPr id="24" name="Rectangle 23"/>
        <xdr:cNvSpPr/>
      </xdr:nvSpPr>
      <xdr:spPr>
        <a:xfrm>
          <a:off x="870857" y="60423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149679</xdr:colOff>
      <xdr:row>348</xdr:row>
      <xdr:rowOff>7654</xdr:rowOff>
    </xdr:from>
    <xdr:to>
      <xdr:col>3</xdr:col>
      <xdr:colOff>667601</xdr:colOff>
      <xdr:row>349</xdr:row>
      <xdr:rowOff>1700</xdr:rowOff>
    </xdr:to>
    <xdr:sp macro="" textlink="">
      <xdr:nvSpPr>
        <xdr:cNvPr id="35" name="Rectangle 34"/>
        <xdr:cNvSpPr/>
      </xdr:nvSpPr>
      <xdr:spPr>
        <a:xfrm>
          <a:off x="830036" y="61566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313766</xdr:colOff>
      <xdr:row>15</xdr:row>
      <xdr:rowOff>145676</xdr:rowOff>
    </xdr:from>
    <xdr:to>
      <xdr:col>10</xdr:col>
      <xdr:colOff>230559</xdr:colOff>
      <xdr:row>60</xdr:row>
      <xdr:rowOff>86965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766" y="2846294"/>
          <a:ext cx="6752381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390661</xdr:colOff>
      <xdr:row>104</xdr:row>
      <xdr:rowOff>174271</xdr:rowOff>
    </xdr:from>
    <xdr:to>
      <xdr:col>9</xdr:col>
      <xdr:colOff>200537</xdr:colOff>
      <xdr:row>149</xdr:row>
      <xdr:rowOff>53779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661" y="19309668"/>
          <a:ext cx="5958428" cy="815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331539</xdr:colOff>
      <xdr:row>149</xdr:row>
      <xdr:rowOff>62598</xdr:rowOff>
    </xdr:from>
    <xdr:to>
      <xdr:col>9</xdr:col>
      <xdr:colOff>455700</xdr:colOff>
      <xdr:row>176</xdr:row>
      <xdr:rowOff>40706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539" y="27474891"/>
          <a:ext cx="6272713" cy="4944245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13</xdr:row>
      <xdr:rowOff>183931</xdr:rowOff>
    </xdr:from>
    <xdr:to>
      <xdr:col>22</xdr:col>
      <xdr:colOff>527638</xdr:colOff>
      <xdr:row>56</xdr:row>
      <xdr:rowOff>39754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81241" y="2575034"/>
          <a:ext cx="6676190" cy="77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144517</xdr:colOff>
      <xdr:row>55</xdr:row>
      <xdr:rowOff>52552</xdr:rowOff>
    </xdr:from>
    <xdr:to>
      <xdr:col>23</xdr:col>
      <xdr:colOff>188982</xdr:colOff>
      <xdr:row>78</xdr:row>
      <xdr:rowOff>145947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25758" y="10175328"/>
          <a:ext cx="6876190" cy="432380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</xdr:row>
      <xdr:rowOff>0</xdr:rowOff>
    </xdr:from>
    <xdr:to>
      <xdr:col>36</xdr:col>
      <xdr:colOff>483910</xdr:colOff>
      <xdr:row>40</xdr:row>
      <xdr:rowOff>109758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139647" y="2342029"/>
          <a:ext cx="5952381" cy="4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593912</xdr:colOff>
      <xdr:row>40</xdr:row>
      <xdr:rowOff>56031</xdr:rowOff>
    </xdr:from>
    <xdr:to>
      <xdr:col>37</xdr:col>
      <xdr:colOff>472610</xdr:colOff>
      <xdr:row>82</xdr:row>
      <xdr:rowOff>87583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00" y="7250207"/>
          <a:ext cx="6714286" cy="75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470647</xdr:colOff>
      <xdr:row>80</xdr:row>
      <xdr:rowOff>89647</xdr:rowOff>
    </xdr:from>
    <xdr:to>
      <xdr:col>38</xdr:col>
      <xdr:colOff>244583</xdr:colOff>
      <xdr:row>118</xdr:row>
      <xdr:rowOff>152660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610294" y="14455588"/>
          <a:ext cx="6609524" cy="6876190"/>
        </a:xfrm>
        <a:prstGeom prst="rect">
          <a:avLst/>
        </a:prstGeom>
      </xdr:spPr>
    </xdr:pic>
    <xdr:clientData/>
  </xdr:twoCellAnchor>
  <xdr:twoCellAnchor editAs="oneCell">
    <xdr:from>
      <xdr:col>28</xdr:col>
      <xdr:colOff>425824</xdr:colOff>
      <xdr:row>113</xdr:row>
      <xdr:rowOff>0</xdr:rowOff>
    </xdr:from>
    <xdr:to>
      <xdr:col>38</xdr:col>
      <xdr:colOff>37855</xdr:colOff>
      <xdr:row>150</xdr:row>
      <xdr:rowOff>108975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565471" y="20282647"/>
          <a:ext cx="6447619" cy="6742857"/>
        </a:xfrm>
        <a:prstGeom prst="rect">
          <a:avLst/>
        </a:prstGeom>
      </xdr:spPr>
    </xdr:pic>
    <xdr:clientData/>
  </xdr:twoCellAnchor>
  <xdr:twoCellAnchor editAs="oneCell">
    <xdr:from>
      <xdr:col>41</xdr:col>
      <xdr:colOff>560294</xdr:colOff>
      <xdr:row>11</xdr:row>
      <xdr:rowOff>123265</xdr:rowOff>
    </xdr:from>
    <xdr:to>
      <xdr:col>51</xdr:col>
      <xdr:colOff>67563</xdr:colOff>
      <xdr:row>52</xdr:row>
      <xdr:rowOff>130746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586206" y="2095500"/>
          <a:ext cx="6342857" cy="7380952"/>
        </a:xfrm>
        <a:prstGeom prst="rect">
          <a:avLst/>
        </a:prstGeom>
      </xdr:spPr>
    </xdr:pic>
    <xdr:clientData/>
  </xdr:twoCellAnchor>
  <xdr:twoCellAnchor editAs="oneCell">
    <xdr:from>
      <xdr:col>42</xdr:col>
      <xdr:colOff>235324</xdr:colOff>
      <xdr:row>51</xdr:row>
      <xdr:rowOff>44823</xdr:rowOff>
    </xdr:from>
    <xdr:to>
      <xdr:col>51</xdr:col>
      <xdr:colOff>7104</xdr:colOff>
      <xdr:row>86</xdr:row>
      <xdr:rowOff>36196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44795" y="9211235"/>
          <a:ext cx="5923809" cy="6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61</xdr:row>
      <xdr:rowOff>38100</xdr:rowOff>
    </xdr:from>
    <xdr:to>
      <xdr:col>10</xdr:col>
      <xdr:colOff>199204</xdr:colOff>
      <xdr:row>103</xdr:row>
      <xdr:rowOff>37150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5775" y="11096625"/>
          <a:ext cx="6571429" cy="76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15034</xdr:colOff>
      <xdr:row>37</xdr:row>
      <xdr:rowOff>104775</xdr:rowOff>
    </xdr:from>
    <xdr:to>
      <xdr:col>29</xdr:col>
      <xdr:colOff>560927</xdr:colOff>
      <xdr:row>68</xdr:row>
      <xdr:rowOff>180974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8034" y="6810375"/>
          <a:ext cx="7403893" cy="569594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0</xdr:row>
      <xdr:rowOff>0</xdr:rowOff>
    </xdr:from>
    <xdr:to>
      <xdr:col>27</xdr:col>
      <xdr:colOff>580267</xdr:colOff>
      <xdr:row>34</xdr:row>
      <xdr:rowOff>75420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0" y="0"/>
          <a:ext cx="6066667" cy="6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</xdr:colOff>
      <xdr:row>72</xdr:row>
      <xdr:rowOff>9525</xdr:rowOff>
    </xdr:from>
    <xdr:to>
      <xdr:col>28</xdr:col>
      <xdr:colOff>627805</xdr:colOff>
      <xdr:row>85</xdr:row>
      <xdr:rowOff>47326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1100" y="13058775"/>
          <a:ext cx="6761905" cy="23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28</xdr:col>
      <xdr:colOff>199229</xdr:colOff>
      <xdr:row>104</xdr:row>
      <xdr:rowOff>94899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0" y="16125825"/>
          <a:ext cx="6371429" cy="28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44979" y="1493457"/>
          <a:ext cx="11312209" cy="85417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19</xdr:col>
      <xdr:colOff>107200</xdr:colOff>
      <xdr:row>49</xdr:row>
      <xdr:rowOff>129087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9826" y="1457739"/>
          <a:ext cx="10419048" cy="7600000"/>
        </a:xfrm>
        <a:prstGeom prst="rect">
          <a:avLst/>
        </a:prstGeom>
      </xdr:spPr>
    </xdr:pic>
    <xdr:clientData/>
  </xdr:twoCellAnchor>
  <xdr:twoCellAnchor>
    <xdr:from>
      <xdr:col>6</xdr:col>
      <xdr:colOff>293945</xdr:colOff>
      <xdr:row>40</xdr:row>
      <xdr:rowOff>118775</xdr:rowOff>
    </xdr:from>
    <xdr:to>
      <xdr:col>7</xdr:col>
      <xdr:colOff>28901</xdr:colOff>
      <xdr:row>43</xdr:row>
      <xdr:rowOff>23436</xdr:rowOff>
    </xdr:to>
    <xdr:sp macro="" textlink="">
      <xdr:nvSpPr>
        <xdr:cNvPr id="78" name="Rectangle 77"/>
        <xdr:cNvSpPr/>
      </xdr:nvSpPr>
      <xdr:spPr>
        <a:xfrm>
          <a:off x="4403881" y="7414520"/>
          <a:ext cx="419946" cy="4518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4</xdr:col>
      <xdr:colOff>231914</xdr:colOff>
      <xdr:row>39</xdr:row>
      <xdr:rowOff>49697</xdr:rowOff>
    </xdr:from>
    <xdr:to>
      <xdr:col>5</xdr:col>
      <xdr:colOff>455543</xdr:colOff>
      <xdr:row>40</xdr:row>
      <xdr:rowOff>1</xdr:rowOff>
    </xdr:to>
    <xdr:sp macro="" textlink="">
      <xdr:nvSpPr>
        <xdr:cNvPr id="79" name="Rectangle 78"/>
        <xdr:cNvSpPr/>
      </xdr:nvSpPr>
      <xdr:spPr>
        <a:xfrm>
          <a:off x="2981740" y="7156175"/>
          <a:ext cx="911086" cy="1325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4</xdr:col>
      <xdr:colOff>223631</xdr:colOff>
      <xdr:row>38</xdr:row>
      <xdr:rowOff>16565</xdr:rowOff>
    </xdr:from>
    <xdr:to>
      <xdr:col>7</xdr:col>
      <xdr:colOff>182217</xdr:colOff>
      <xdr:row>39</xdr:row>
      <xdr:rowOff>8283</xdr:rowOff>
    </xdr:to>
    <xdr:sp macro="" textlink="">
      <xdr:nvSpPr>
        <xdr:cNvPr id="81" name="Rectangle 80"/>
        <xdr:cNvSpPr/>
      </xdr:nvSpPr>
      <xdr:spPr>
        <a:xfrm>
          <a:off x="2973457" y="6940826"/>
          <a:ext cx="2020956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256761</xdr:colOff>
      <xdr:row>41</xdr:row>
      <xdr:rowOff>41414</xdr:rowOff>
    </xdr:from>
    <xdr:to>
      <xdr:col>5</xdr:col>
      <xdr:colOff>220090</xdr:colOff>
      <xdr:row>42</xdr:row>
      <xdr:rowOff>13573</xdr:rowOff>
    </xdr:to>
    <xdr:sp macro="" textlink="">
      <xdr:nvSpPr>
        <xdr:cNvPr id="82" name="Rectangle 81"/>
        <xdr:cNvSpPr/>
      </xdr:nvSpPr>
      <xdr:spPr>
        <a:xfrm>
          <a:off x="3006587" y="7512327"/>
          <a:ext cx="650786" cy="15437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5</xdr:col>
      <xdr:colOff>679174</xdr:colOff>
      <xdr:row>39</xdr:row>
      <xdr:rowOff>41414</xdr:rowOff>
    </xdr:from>
    <xdr:to>
      <xdr:col>6</xdr:col>
      <xdr:colOff>668779</xdr:colOff>
      <xdr:row>40</xdr:row>
      <xdr:rowOff>8282</xdr:rowOff>
    </xdr:to>
    <xdr:sp macro="" textlink="">
      <xdr:nvSpPr>
        <xdr:cNvPr id="85" name="Rectangle 84"/>
        <xdr:cNvSpPr/>
      </xdr:nvSpPr>
      <xdr:spPr>
        <a:xfrm>
          <a:off x="4116457" y="7147892"/>
          <a:ext cx="677061" cy="1490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5</xdr:col>
      <xdr:colOff>668936</xdr:colOff>
      <xdr:row>39</xdr:row>
      <xdr:rowOff>180549</xdr:rowOff>
    </xdr:from>
    <xdr:to>
      <xdr:col>6</xdr:col>
      <xdr:colOff>261678</xdr:colOff>
      <xdr:row>40</xdr:row>
      <xdr:rowOff>156710</xdr:rowOff>
    </xdr:to>
    <xdr:sp macro="" textlink="">
      <xdr:nvSpPr>
        <xdr:cNvPr id="86" name="Rectangle 85"/>
        <xdr:cNvSpPr/>
      </xdr:nvSpPr>
      <xdr:spPr>
        <a:xfrm>
          <a:off x="4107229" y="7247634"/>
          <a:ext cx="280400" cy="157369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153935</xdr:colOff>
      <xdr:row>45</xdr:row>
      <xdr:rowOff>58383</xdr:rowOff>
    </xdr:from>
    <xdr:to>
      <xdr:col>7</xdr:col>
      <xdr:colOff>343828</xdr:colOff>
      <xdr:row>47</xdr:row>
      <xdr:rowOff>83634</xdr:rowOff>
    </xdr:to>
    <xdr:sp macro="" textlink="">
      <xdr:nvSpPr>
        <xdr:cNvPr id="87" name="Rectangle 86"/>
        <xdr:cNvSpPr/>
      </xdr:nvSpPr>
      <xdr:spPr>
        <a:xfrm>
          <a:off x="2904569" y="8212712"/>
          <a:ext cx="2252869" cy="3876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343373</xdr:colOff>
      <xdr:row>43</xdr:row>
      <xdr:rowOff>108856</xdr:rowOff>
    </xdr:from>
    <xdr:to>
      <xdr:col>17</xdr:col>
      <xdr:colOff>517070</xdr:colOff>
      <xdr:row>44</xdr:row>
      <xdr:rowOff>123825</xdr:rowOff>
    </xdr:to>
    <xdr:sp macro="" textlink="">
      <xdr:nvSpPr>
        <xdr:cNvPr id="88" name="Rectangle 87"/>
        <xdr:cNvSpPr/>
      </xdr:nvSpPr>
      <xdr:spPr>
        <a:xfrm>
          <a:off x="9944573" y="7890781"/>
          <a:ext cx="2231097" cy="1959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353787</xdr:colOff>
      <xdr:row>42</xdr:row>
      <xdr:rowOff>125185</xdr:rowOff>
    </xdr:from>
    <xdr:to>
      <xdr:col>16</xdr:col>
      <xdr:colOff>179615</xdr:colOff>
      <xdr:row>43</xdr:row>
      <xdr:rowOff>99948</xdr:rowOff>
    </xdr:to>
    <xdr:sp macro="" textlink="">
      <xdr:nvSpPr>
        <xdr:cNvPr id="98" name="Rectangle 97"/>
        <xdr:cNvSpPr/>
      </xdr:nvSpPr>
      <xdr:spPr>
        <a:xfrm>
          <a:off x="9954987" y="7668985"/>
          <a:ext cx="1197428" cy="1543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 editAs="oneCell">
    <xdr:from>
      <xdr:col>4</xdr:col>
      <xdr:colOff>0</xdr:colOff>
      <xdr:row>58</xdr:row>
      <xdr:rowOff>0</xdr:rowOff>
    </xdr:from>
    <xdr:to>
      <xdr:col>20</xdr:col>
      <xdr:colOff>696</xdr:colOff>
      <xdr:row>99</xdr:row>
      <xdr:rowOff>138611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0" y="10496550"/>
          <a:ext cx="10973496" cy="7558586"/>
        </a:xfrm>
        <a:prstGeom prst="rect">
          <a:avLst/>
        </a:prstGeom>
      </xdr:spPr>
    </xdr:pic>
    <xdr:clientData/>
  </xdr:twoCellAnchor>
  <xdr:twoCellAnchor>
    <xdr:from>
      <xdr:col>14</xdr:col>
      <xdr:colOff>304800</xdr:colOff>
      <xdr:row>92</xdr:row>
      <xdr:rowOff>122996</xdr:rowOff>
    </xdr:from>
    <xdr:to>
      <xdr:col>17</xdr:col>
      <xdr:colOff>510029</xdr:colOff>
      <xdr:row>94</xdr:row>
      <xdr:rowOff>133350</xdr:rowOff>
    </xdr:to>
    <xdr:sp macro="" textlink="">
      <xdr:nvSpPr>
        <xdr:cNvPr id="16" name="Rectangle 15"/>
        <xdr:cNvSpPr/>
      </xdr:nvSpPr>
      <xdr:spPr>
        <a:xfrm>
          <a:off x="9906000" y="16772696"/>
          <a:ext cx="2262629" cy="3723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0</xdr:colOff>
      <xdr:row>7</xdr:row>
      <xdr:rowOff>0</xdr:rowOff>
    </xdr:from>
    <xdr:to>
      <xdr:col>48</xdr:col>
      <xdr:colOff>360858</xdr:colOff>
      <xdr:row>49</xdr:row>
      <xdr:rowOff>118298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35391" y="1275522"/>
          <a:ext cx="12047619" cy="7771428"/>
        </a:xfrm>
        <a:prstGeom prst="rect">
          <a:avLst/>
        </a:prstGeom>
      </xdr:spPr>
    </xdr:pic>
    <xdr:clientData/>
  </xdr:twoCellAnchor>
  <xdr:twoCellAnchor>
    <xdr:from>
      <xdr:col>31</xdr:col>
      <xdr:colOff>115957</xdr:colOff>
      <xdr:row>11</xdr:row>
      <xdr:rowOff>165652</xdr:rowOff>
    </xdr:from>
    <xdr:to>
      <xdr:col>31</xdr:col>
      <xdr:colOff>571500</xdr:colOff>
      <xdr:row>12</xdr:row>
      <xdr:rowOff>157369</xdr:rowOff>
    </xdr:to>
    <xdr:sp macro="" textlink="">
      <xdr:nvSpPr>
        <xdr:cNvPr id="6" name="Rectangle 5"/>
        <xdr:cNvSpPr/>
      </xdr:nvSpPr>
      <xdr:spPr>
        <a:xfrm>
          <a:off x="21551348" y="2170043"/>
          <a:ext cx="455543" cy="17393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0</xdr:colOff>
      <xdr:row>53</xdr:row>
      <xdr:rowOff>0</xdr:rowOff>
    </xdr:from>
    <xdr:to>
      <xdr:col>48</xdr:col>
      <xdr:colOff>474733</xdr:colOff>
      <xdr:row>95</xdr:row>
      <xdr:rowOff>170478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2675" y="9591675"/>
          <a:ext cx="12133333" cy="7771428"/>
        </a:xfrm>
        <a:prstGeom prst="rect">
          <a:avLst/>
        </a:prstGeom>
      </xdr:spPr>
    </xdr:pic>
    <xdr:clientData/>
  </xdr:twoCellAnchor>
  <xdr:twoCellAnchor>
    <xdr:from>
      <xdr:col>31</xdr:col>
      <xdr:colOff>544582</xdr:colOff>
      <xdr:row>58</xdr:row>
      <xdr:rowOff>22777</xdr:rowOff>
    </xdr:from>
    <xdr:to>
      <xdr:col>32</xdr:col>
      <xdr:colOff>314325</xdr:colOff>
      <xdr:row>59</xdr:row>
      <xdr:rowOff>14494</xdr:rowOff>
    </xdr:to>
    <xdr:sp macro="" textlink="">
      <xdr:nvSpPr>
        <xdr:cNvPr id="24" name="Rectangle 23"/>
        <xdr:cNvSpPr/>
      </xdr:nvSpPr>
      <xdr:spPr>
        <a:xfrm>
          <a:off x="21947257" y="10519327"/>
          <a:ext cx="455543" cy="172692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57150</xdr:colOff>
      <xdr:row>63</xdr:row>
      <xdr:rowOff>9525</xdr:rowOff>
    </xdr:from>
    <xdr:to>
      <xdr:col>14</xdr:col>
      <xdr:colOff>266700</xdr:colOff>
      <xdr:row>84</xdr:row>
      <xdr:rowOff>9525</xdr:rowOff>
    </xdr:to>
    <xdr:pic>
      <xdr:nvPicPr>
        <xdr:cNvPr id="25" name="Picture 24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11410950"/>
          <a:ext cx="4324350" cy="3800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466725</xdr:colOff>
      <xdr:row>61</xdr:row>
      <xdr:rowOff>113471</xdr:rowOff>
    </xdr:from>
    <xdr:to>
      <xdr:col>14</xdr:col>
      <xdr:colOff>304800</xdr:colOff>
      <xdr:row>86</xdr:row>
      <xdr:rowOff>171450</xdr:rowOff>
    </xdr:to>
    <xdr:sp macro="" textlink="">
      <xdr:nvSpPr>
        <xdr:cNvPr id="26" name="Rectangle 25"/>
        <xdr:cNvSpPr/>
      </xdr:nvSpPr>
      <xdr:spPr>
        <a:xfrm>
          <a:off x="5267325" y="1115294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13</xdr:col>
      <xdr:colOff>447675</xdr:colOff>
      <xdr:row>57</xdr:row>
      <xdr:rowOff>9525</xdr:rowOff>
    </xdr:from>
    <xdr:to>
      <xdr:col>14</xdr:col>
      <xdr:colOff>28575</xdr:colOff>
      <xdr:row>63</xdr:row>
      <xdr:rowOff>133350</xdr:rowOff>
    </xdr:to>
    <xdr:cxnSp macro="">
      <xdr:nvCxnSpPr>
        <xdr:cNvPr id="27" name="Straight Arrow Connector 26"/>
        <xdr:cNvCxnSpPr/>
      </xdr:nvCxnSpPr>
      <xdr:spPr>
        <a:xfrm flipH="1">
          <a:off x="9363075" y="10325100"/>
          <a:ext cx="266700" cy="12096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104775</xdr:colOff>
      <xdr:row>36</xdr:row>
      <xdr:rowOff>123825</xdr:rowOff>
    </xdr:from>
    <xdr:to>
      <xdr:col>14</xdr:col>
      <xdr:colOff>447675</xdr:colOff>
      <xdr:row>50</xdr:row>
      <xdr:rowOff>133350</xdr:rowOff>
    </xdr:to>
    <xdr:cxnSp macro="">
      <xdr:nvCxnSpPr>
        <xdr:cNvPr id="30" name="Straight Arrow Connector 29"/>
        <xdr:cNvCxnSpPr/>
      </xdr:nvCxnSpPr>
      <xdr:spPr>
        <a:xfrm flipH="1" flipV="1">
          <a:off x="9705975" y="6638925"/>
          <a:ext cx="342900" cy="25431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466725</xdr:colOff>
      <xdr:row>12</xdr:row>
      <xdr:rowOff>28575</xdr:rowOff>
    </xdr:from>
    <xdr:to>
      <xdr:col>13</xdr:col>
      <xdr:colOff>590550</xdr:colOff>
      <xdr:row>35</xdr:row>
      <xdr:rowOff>66675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200275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476250</xdr:colOff>
      <xdr:row>11</xdr:row>
      <xdr:rowOff>84896</xdr:rowOff>
    </xdr:from>
    <xdr:to>
      <xdr:col>14</xdr:col>
      <xdr:colOff>314325</xdr:colOff>
      <xdr:row>36</xdr:row>
      <xdr:rowOff>142875</xdr:rowOff>
    </xdr:to>
    <xdr:sp macro="" textlink="">
      <xdr:nvSpPr>
        <xdr:cNvPr id="29" name="Rectangle 28"/>
        <xdr:cNvSpPr/>
      </xdr:nvSpPr>
      <xdr:spPr>
        <a:xfrm>
          <a:off x="5276850" y="2075621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238126</xdr:colOff>
      <xdr:row>62</xdr:row>
      <xdr:rowOff>95251</xdr:rowOff>
    </xdr:from>
    <xdr:to>
      <xdr:col>34</xdr:col>
      <xdr:colOff>352901</xdr:colOff>
      <xdr:row>74</xdr:row>
      <xdr:rowOff>76200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0801" y="11315701"/>
          <a:ext cx="2172175" cy="215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219076</xdr:colOff>
      <xdr:row>62</xdr:row>
      <xdr:rowOff>94421</xdr:rowOff>
    </xdr:from>
    <xdr:to>
      <xdr:col>34</xdr:col>
      <xdr:colOff>390526</xdr:colOff>
      <xdr:row>74</xdr:row>
      <xdr:rowOff>95250</xdr:rowOff>
    </xdr:to>
    <xdr:sp macro="" textlink="">
      <xdr:nvSpPr>
        <xdr:cNvPr id="34" name="Rectangle 33"/>
        <xdr:cNvSpPr/>
      </xdr:nvSpPr>
      <xdr:spPr>
        <a:xfrm>
          <a:off x="21621751" y="11314871"/>
          <a:ext cx="2228850" cy="2172529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29</xdr:col>
      <xdr:colOff>247650</xdr:colOff>
      <xdr:row>52</xdr:row>
      <xdr:rowOff>0</xdr:rowOff>
    </xdr:from>
    <xdr:to>
      <xdr:col>31</xdr:col>
      <xdr:colOff>228600</xdr:colOff>
      <xdr:row>62</xdr:row>
      <xdr:rowOff>104775</xdr:rowOff>
    </xdr:to>
    <xdr:cxnSp macro="">
      <xdr:nvCxnSpPr>
        <xdr:cNvPr id="35" name="Straight Arrow Connector 34"/>
        <xdr:cNvCxnSpPr/>
      </xdr:nvCxnSpPr>
      <xdr:spPr>
        <a:xfrm flipH="1" flipV="1">
          <a:off x="20278725" y="9410700"/>
          <a:ext cx="135255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12</xdr:row>
      <xdr:rowOff>85725</xdr:rowOff>
    </xdr:from>
    <xdr:to>
      <xdr:col>17</xdr:col>
      <xdr:colOff>282377</xdr:colOff>
      <xdr:row>53</xdr:row>
      <xdr:rowOff>162631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1625" y="2257425"/>
          <a:ext cx="10369352" cy="7496881"/>
        </a:xfrm>
        <a:prstGeom prst="rect">
          <a:avLst/>
        </a:prstGeom>
      </xdr:spPr>
    </xdr:pic>
    <xdr:clientData/>
  </xdr:twoCellAnchor>
  <xdr:twoCellAnchor>
    <xdr:from>
      <xdr:col>4</xdr:col>
      <xdr:colOff>490657</xdr:colOff>
      <xdr:row>44</xdr:row>
      <xdr:rowOff>163501</xdr:rowOff>
    </xdr:from>
    <xdr:to>
      <xdr:col>5</xdr:col>
      <xdr:colOff>223956</xdr:colOff>
      <xdr:row>47</xdr:row>
      <xdr:rowOff>65677</xdr:rowOff>
    </xdr:to>
    <xdr:sp macro="" textlink="">
      <xdr:nvSpPr>
        <xdr:cNvPr id="36" name="Rectangle 35"/>
        <xdr:cNvSpPr/>
      </xdr:nvSpPr>
      <xdr:spPr>
        <a:xfrm>
          <a:off x="3233857" y="8126401"/>
          <a:ext cx="419099" cy="4451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2</xdr:col>
      <xdr:colOff>431939</xdr:colOff>
      <xdr:row>43</xdr:row>
      <xdr:rowOff>96907</xdr:rowOff>
    </xdr:from>
    <xdr:to>
      <xdr:col>3</xdr:col>
      <xdr:colOff>653911</xdr:colOff>
      <xdr:row>44</xdr:row>
      <xdr:rowOff>45969</xdr:rowOff>
    </xdr:to>
    <xdr:sp macro="" textlink="">
      <xdr:nvSpPr>
        <xdr:cNvPr id="37" name="Rectangle 36"/>
        <xdr:cNvSpPr/>
      </xdr:nvSpPr>
      <xdr:spPr>
        <a:xfrm>
          <a:off x="1803539" y="7878832"/>
          <a:ext cx="907772" cy="1300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2</xdr:col>
      <xdr:colOff>423656</xdr:colOff>
      <xdr:row>42</xdr:row>
      <xdr:rowOff>65018</xdr:rowOff>
    </xdr:from>
    <xdr:to>
      <xdr:col>5</xdr:col>
      <xdr:colOff>377272</xdr:colOff>
      <xdr:row>43</xdr:row>
      <xdr:rowOff>55493</xdr:rowOff>
    </xdr:to>
    <xdr:sp macro="" textlink="">
      <xdr:nvSpPr>
        <xdr:cNvPr id="38" name="Rectangle 37"/>
        <xdr:cNvSpPr/>
      </xdr:nvSpPr>
      <xdr:spPr>
        <a:xfrm>
          <a:off x="1795256" y="7665968"/>
          <a:ext cx="2011016" cy="1714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</xdr:col>
      <xdr:colOff>456786</xdr:colOff>
      <xdr:row>45</xdr:row>
      <xdr:rowOff>86140</xdr:rowOff>
    </xdr:from>
    <xdr:to>
      <xdr:col>3</xdr:col>
      <xdr:colOff>418458</xdr:colOff>
      <xdr:row>46</xdr:row>
      <xdr:rowOff>57056</xdr:rowOff>
    </xdr:to>
    <xdr:sp macro="" textlink="">
      <xdr:nvSpPr>
        <xdr:cNvPr id="39" name="Rectangle 38"/>
        <xdr:cNvSpPr/>
      </xdr:nvSpPr>
      <xdr:spPr>
        <a:xfrm>
          <a:off x="1828386" y="8230015"/>
          <a:ext cx="647472" cy="1518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4</xdr:col>
      <xdr:colOff>191742</xdr:colOff>
      <xdr:row>43</xdr:row>
      <xdr:rowOff>88624</xdr:rowOff>
    </xdr:from>
    <xdr:to>
      <xdr:col>5</xdr:col>
      <xdr:colOff>179691</xdr:colOff>
      <xdr:row>44</xdr:row>
      <xdr:rowOff>54250</xdr:rowOff>
    </xdr:to>
    <xdr:sp macro="" textlink="">
      <xdr:nvSpPr>
        <xdr:cNvPr id="40" name="Rectangle 39"/>
        <xdr:cNvSpPr/>
      </xdr:nvSpPr>
      <xdr:spPr>
        <a:xfrm>
          <a:off x="2934942" y="7870549"/>
          <a:ext cx="673749" cy="1466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181504</xdr:colOff>
      <xdr:row>44</xdr:row>
      <xdr:rowOff>45542</xdr:rowOff>
    </xdr:from>
    <xdr:to>
      <xdr:col>4</xdr:col>
      <xdr:colOff>458390</xdr:colOff>
      <xdr:row>45</xdr:row>
      <xdr:rowOff>20461</xdr:rowOff>
    </xdr:to>
    <xdr:sp macro="" textlink="">
      <xdr:nvSpPr>
        <xdr:cNvPr id="41" name="Rectangle 40"/>
        <xdr:cNvSpPr/>
      </xdr:nvSpPr>
      <xdr:spPr>
        <a:xfrm>
          <a:off x="2924704" y="8008442"/>
          <a:ext cx="276886" cy="155894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2</xdr:col>
      <xdr:colOff>353960</xdr:colOff>
      <xdr:row>49</xdr:row>
      <xdr:rowOff>98139</xdr:rowOff>
    </xdr:from>
    <xdr:to>
      <xdr:col>5</xdr:col>
      <xdr:colOff>538883</xdr:colOff>
      <xdr:row>51</xdr:row>
      <xdr:rowOff>120905</xdr:rowOff>
    </xdr:to>
    <xdr:sp macro="" textlink="">
      <xdr:nvSpPr>
        <xdr:cNvPr id="42" name="Rectangle 41"/>
        <xdr:cNvSpPr/>
      </xdr:nvSpPr>
      <xdr:spPr>
        <a:xfrm>
          <a:off x="1725560" y="8965914"/>
          <a:ext cx="2242323" cy="38471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526833</xdr:colOff>
      <xdr:row>47</xdr:row>
      <xdr:rowOff>174704</xdr:rowOff>
    </xdr:from>
    <xdr:to>
      <xdr:col>16</xdr:col>
      <xdr:colOff>9760</xdr:colOff>
      <xdr:row>49</xdr:row>
      <xdr:rowOff>1</xdr:rowOff>
    </xdr:to>
    <xdr:sp macro="" textlink="">
      <xdr:nvSpPr>
        <xdr:cNvPr id="43" name="Rectangle 42"/>
        <xdr:cNvSpPr/>
      </xdr:nvSpPr>
      <xdr:spPr>
        <a:xfrm>
          <a:off x="8776311" y="8738921"/>
          <a:ext cx="2232753" cy="1897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537247</xdr:colOff>
      <xdr:row>46</xdr:row>
      <xdr:rowOff>167426</xdr:rowOff>
    </xdr:from>
    <xdr:to>
      <xdr:col>14</xdr:col>
      <xdr:colOff>359762</xdr:colOff>
      <xdr:row>47</xdr:row>
      <xdr:rowOff>140946</xdr:rowOff>
    </xdr:to>
    <xdr:sp macro="" textlink="">
      <xdr:nvSpPr>
        <xdr:cNvPr id="45" name="Rectangle 44"/>
        <xdr:cNvSpPr/>
      </xdr:nvSpPr>
      <xdr:spPr>
        <a:xfrm>
          <a:off x="8766847" y="8492276"/>
          <a:ext cx="1194115" cy="1544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>
    <xdr:from>
      <xdr:col>15</xdr:col>
      <xdr:colOff>609600</xdr:colOff>
      <xdr:row>16</xdr:row>
      <xdr:rowOff>66675</xdr:rowOff>
    </xdr:from>
    <xdr:to>
      <xdr:col>19</xdr:col>
      <xdr:colOff>57150</xdr:colOff>
      <xdr:row>16</xdr:row>
      <xdr:rowOff>152400</xdr:rowOff>
    </xdr:to>
    <xdr:cxnSp macro="">
      <xdr:nvCxnSpPr>
        <xdr:cNvPr id="3" name="Straight Arrow Connector 2"/>
        <xdr:cNvCxnSpPr/>
      </xdr:nvCxnSpPr>
      <xdr:spPr>
        <a:xfrm flipH="1">
          <a:off x="10896600" y="2962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17</xdr:row>
      <xdr:rowOff>76200</xdr:rowOff>
    </xdr:from>
    <xdr:to>
      <xdr:col>19</xdr:col>
      <xdr:colOff>47625</xdr:colOff>
      <xdr:row>17</xdr:row>
      <xdr:rowOff>161925</xdr:rowOff>
    </xdr:to>
    <xdr:cxnSp macro="">
      <xdr:nvCxnSpPr>
        <xdr:cNvPr id="48" name="Straight Arrow Connector 47"/>
        <xdr:cNvCxnSpPr/>
      </xdr:nvCxnSpPr>
      <xdr:spPr>
        <a:xfrm flipH="1">
          <a:off x="10887075" y="31527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43</xdr:row>
      <xdr:rowOff>85725</xdr:rowOff>
    </xdr:from>
    <xdr:to>
      <xdr:col>19</xdr:col>
      <xdr:colOff>66675</xdr:colOff>
      <xdr:row>43</xdr:row>
      <xdr:rowOff>171450</xdr:rowOff>
    </xdr:to>
    <xdr:cxnSp macro="">
      <xdr:nvCxnSpPr>
        <xdr:cNvPr id="49" name="Straight Arrow Connector 48"/>
        <xdr:cNvCxnSpPr/>
      </xdr:nvCxnSpPr>
      <xdr:spPr>
        <a:xfrm flipH="1">
          <a:off x="10906125" y="78676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590550</xdr:colOff>
      <xdr:row>18</xdr:row>
      <xdr:rowOff>104775</xdr:rowOff>
    </xdr:from>
    <xdr:to>
      <xdr:col>19</xdr:col>
      <xdr:colOff>38100</xdr:colOff>
      <xdr:row>19</xdr:row>
      <xdr:rowOff>9525</xdr:rowOff>
    </xdr:to>
    <xdr:cxnSp macro="">
      <xdr:nvCxnSpPr>
        <xdr:cNvPr id="50" name="Straight Arrow Connector 49"/>
        <xdr:cNvCxnSpPr/>
      </xdr:nvCxnSpPr>
      <xdr:spPr>
        <a:xfrm flipH="1">
          <a:off x="10877550" y="3362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24</xdr:row>
      <xdr:rowOff>104775</xdr:rowOff>
    </xdr:from>
    <xdr:to>
      <xdr:col>19</xdr:col>
      <xdr:colOff>76200</xdr:colOff>
      <xdr:row>25</xdr:row>
      <xdr:rowOff>9525</xdr:rowOff>
    </xdr:to>
    <xdr:cxnSp macro="">
      <xdr:nvCxnSpPr>
        <xdr:cNvPr id="51" name="Straight Arrow Connector 50"/>
        <xdr:cNvCxnSpPr/>
      </xdr:nvCxnSpPr>
      <xdr:spPr>
        <a:xfrm flipH="1">
          <a:off x="10915650" y="4448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25</xdr:row>
      <xdr:rowOff>123825</xdr:rowOff>
    </xdr:from>
    <xdr:to>
      <xdr:col>19</xdr:col>
      <xdr:colOff>76200</xdr:colOff>
      <xdr:row>26</xdr:row>
      <xdr:rowOff>28575</xdr:rowOff>
    </xdr:to>
    <xdr:cxnSp macro="">
      <xdr:nvCxnSpPr>
        <xdr:cNvPr id="52" name="Straight Arrow Connector 51"/>
        <xdr:cNvCxnSpPr/>
      </xdr:nvCxnSpPr>
      <xdr:spPr>
        <a:xfrm flipH="1">
          <a:off x="10915650" y="46482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26</xdr:row>
      <xdr:rowOff>123825</xdr:rowOff>
    </xdr:from>
    <xdr:to>
      <xdr:col>19</xdr:col>
      <xdr:colOff>66675</xdr:colOff>
      <xdr:row>27</xdr:row>
      <xdr:rowOff>28575</xdr:rowOff>
    </xdr:to>
    <xdr:cxnSp macro="">
      <xdr:nvCxnSpPr>
        <xdr:cNvPr id="53" name="Straight Arrow Connector 52"/>
        <xdr:cNvCxnSpPr/>
      </xdr:nvCxnSpPr>
      <xdr:spPr>
        <a:xfrm flipH="1">
          <a:off x="10906125" y="4829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31</xdr:row>
      <xdr:rowOff>85725</xdr:rowOff>
    </xdr:from>
    <xdr:to>
      <xdr:col>19</xdr:col>
      <xdr:colOff>57150</xdr:colOff>
      <xdr:row>31</xdr:row>
      <xdr:rowOff>171450</xdr:rowOff>
    </xdr:to>
    <xdr:cxnSp macro="">
      <xdr:nvCxnSpPr>
        <xdr:cNvPr id="55" name="Straight Arrow Connector 54"/>
        <xdr:cNvCxnSpPr/>
      </xdr:nvCxnSpPr>
      <xdr:spPr>
        <a:xfrm flipH="1">
          <a:off x="10896600" y="5695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32</xdr:row>
      <xdr:rowOff>104775</xdr:rowOff>
    </xdr:from>
    <xdr:to>
      <xdr:col>19</xdr:col>
      <xdr:colOff>57150</xdr:colOff>
      <xdr:row>33</xdr:row>
      <xdr:rowOff>9525</xdr:rowOff>
    </xdr:to>
    <xdr:cxnSp macro="">
      <xdr:nvCxnSpPr>
        <xdr:cNvPr id="56" name="Straight Arrow Connector 55"/>
        <xdr:cNvCxnSpPr/>
      </xdr:nvCxnSpPr>
      <xdr:spPr>
        <a:xfrm flipH="1">
          <a:off x="10896600" y="58959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33</xdr:row>
      <xdr:rowOff>104775</xdr:rowOff>
    </xdr:from>
    <xdr:to>
      <xdr:col>19</xdr:col>
      <xdr:colOff>47625</xdr:colOff>
      <xdr:row>34</xdr:row>
      <xdr:rowOff>9525</xdr:rowOff>
    </xdr:to>
    <xdr:cxnSp macro="">
      <xdr:nvCxnSpPr>
        <xdr:cNvPr id="57" name="Straight Arrow Connector 56"/>
        <xdr:cNvCxnSpPr/>
      </xdr:nvCxnSpPr>
      <xdr:spPr>
        <a:xfrm flipH="1">
          <a:off x="10887075" y="6076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104775</xdr:colOff>
      <xdr:row>47</xdr:row>
      <xdr:rowOff>142876</xdr:rowOff>
    </xdr:from>
    <xdr:to>
      <xdr:col>18</xdr:col>
      <xdr:colOff>666750</xdr:colOff>
      <xdr:row>48</xdr:row>
      <xdr:rowOff>57150</xdr:rowOff>
    </xdr:to>
    <xdr:cxnSp macro="">
      <xdr:nvCxnSpPr>
        <xdr:cNvPr id="58" name="Straight Arrow Connector 57"/>
        <xdr:cNvCxnSpPr/>
      </xdr:nvCxnSpPr>
      <xdr:spPr>
        <a:xfrm flipH="1" flipV="1">
          <a:off x="10391775" y="8648701"/>
          <a:ext cx="2619375" cy="952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47</xdr:row>
      <xdr:rowOff>19051</xdr:rowOff>
    </xdr:from>
    <xdr:to>
      <xdr:col>19</xdr:col>
      <xdr:colOff>38100</xdr:colOff>
      <xdr:row>47</xdr:row>
      <xdr:rowOff>38100</xdr:rowOff>
    </xdr:to>
    <xdr:cxnSp macro="">
      <xdr:nvCxnSpPr>
        <xdr:cNvPr id="61" name="Straight Arrow Connector 60"/>
        <xdr:cNvCxnSpPr/>
      </xdr:nvCxnSpPr>
      <xdr:spPr>
        <a:xfrm flipH="1" flipV="1">
          <a:off x="10915650" y="8524876"/>
          <a:ext cx="2152650" cy="190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409575</xdr:colOff>
      <xdr:row>45</xdr:row>
      <xdr:rowOff>9525</xdr:rowOff>
    </xdr:from>
    <xdr:to>
      <xdr:col>7</xdr:col>
      <xdr:colOff>666750</xdr:colOff>
      <xdr:row>56</xdr:row>
      <xdr:rowOff>0</xdr:rowOff>
    </xdr:to>
    <xdr:cxnSp macro="">
      <xdr:nvCxnSpPr>
        <xdr:cNvPr id="64" name="Straight Arrow Connector 63"/>
        <xdr:cNvCxnSpPr/>
      </xdr:nvCxnSpPr>
      <xdr:spPr>
        <a:xfrm flipV="1">
          <a:off x="5210175" y="8153400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200025</xdr:colOff>
      <xdr:row>44</xdr:row>
      <xdr:rowOff>142875</xdr:rowOff>
    </xdr:from>
    <xdr:to>
      <xdr:col>9</xdr:col>
      <xdr:colOff>457200</xdr:colOff>
      <xdr:row>55</xdr:row>
      <xdr:rowOff>133350</xdr:rowOff>
    </xdr:to>
    <xdr:cxnSp macro="">
      <xdr:nvCxnSpPr>
        <xdr:cNvPr id="68" name="Straight Arrow Connector 67"/>
        <xdr:cNvCxnSpPr/>
      </xdr:nvCxnSpPr>
      <xdr:spPr>
        <a:xfrm flipV="1">
          <a:off x="6372225" y="8105775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9525</xdr:colOff>
      <xdr:row>45</xdr:row>
      <xdr:rowOff>0</xdr:rowOff>
    </xdr:from>
    <xdr:to>
      <xdr:col>12</xdr:col>
      <xdr:colOff>190500</xdr:colOff>
      <xdr:row>56</xdr:row>
      <xdr:rowOff>19050</xdr:rowOff>
    </xdr:to>
    <xdr:cxnSp macro="">
      <xdr:nvCxnSpPr>
        <xdr:cNvPr id="69" name="Straight Arrow Connector 68"/>
        <xdr:cNvCxnSpPr/>
      </xdr:nvCxnSpPr>
      <xdr:spPr>
        <a:xfrm flipV="1">
          <a:off x="8239125" y="8143875"/>
          <a:ext cx="180975" cy="2009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626993</xdr:colOff>
      <xdr:row>45</xdr:row>
      <xdr:rowOff>66260</xdr:rowOff>
    </xdr:from>
    <xdr:to>
      <xdr:col>19</xdr:col>
      <xdr:colOff>41413</xdr:colOff>
      <xdr:row>45</xdr:row>
      <xdr:rowOff>84482</xdr:rowOff>
    </xdr:to>
    <xdr:cxnSp macro="">
      <xdr:nvCxnSpPr>
        <xdr:cNvPr id="71" name="Straight Arrow Connector 70"/>
        <xdr:cNvCxnSpPr/>
      </xdr:nvCxnSpPr>
      <xdr:spPr>
        <a:xfrm flipH="1">
          <a:off x="10938841" y="8266043"/>
          <a:ext cx="2164246" cy="182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676277</xdr:colOff>
      <xdr:row>46</xdr:row>
      <xdr:rowOff>95250</xdr:rowOff>
    </xdr:from>
    <xdr:to>
      <xdr:col>19</xdr:col>
      <xdr:colOff>0</xdr:colOff>
      <xdr:row>46</xdr:row>
      <xdr:rowOff>104775</xdr:rowOff>
    </xdr:to>
    <xdr:cxnSp macro="">
      <xdr:nvCxnSpPr>
        <xdr:cNvPr id="74" name="Straight Arrow Connector 73"/>
        <xdr:cNvCxnSpPr/>
      </xdr:nvCxnSpPr>
      <xdr:spPr>
        <a:xfrm flipH="1">
          <a:off x="10963277" y="8420100"/>
          <a:ext cx="2066923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65</xdr:row>
      <xdr:rowOff>0</xdr:rowOff>
    </xdr:from>
    <xdr:to>
      <xdr:col>18</xdr:col>
      <xdr:colOff>696</xdr:colOff>
      <xdr:row>106</xdr:row>
      <xdr:rowOff>138611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11763375"/>
          <a:ext cx="10973496" cy="7558586"/>
        </a:xfrm>
        <a:prstGeom prst="rect">
          <a:avLst/>
        </a:prstGeom>
      </xdr:spPr>
    </xdr:pic>
    <xdr:clientData/>
  </xdr:twoCellAnchor>
  <xdr:twoCellAnchor>
    <xdr:from>
      <xdr:col>12</xdr:col>
      <xdr:colOff>304800</xdr:colOff>
      <xdr:row>99</xdr:row>
      <xdr:rowOff>122996</xdr:rowOff>
    </xdr:from>
    <xdr:to>
      <xdr:col>15</xdr:col>
      <xdr:colOff>510029</xdr:colOff>
      <xdr:row>101</xdr:row>
      <xdr:rowOff>133350</xdr:rowOff>
    </xdr:to>
    <xdr:sp macro="" textlink="">
      <xdr:nvSpPr>
        <xdr:cNvPr id="77" name="Rectangle 76"/>
        <xdr:cNvSpPr/>
      </xdr:nvSpPr>
      <xdr:spPr>
        <a:xfrm>
          <a:off x="8554278" y="18162518"/>
          <a:ext cx="2267599" cy="37478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428625</xdr:colOff>
      <xdr:row>68</xdr:row>
      <xdr:rowOff>123825</xdr:rowOff>
    </xdr:from>
    <xdr:to>
      <xdr:col>18</xdr:col>
      <xdr:colOff>561975</xdr:colOff>
      <xdr:row>69</xdr:row>
      <xdr:rowOff>28575</xdr:rowOff>
    </xdr:to>
    <xdr:cxnSp macro="">
      <xdr:nvCxnSpPr>
        <xdr:cNvPr id="78" name="Straight Arrow Connector 77"/>
        <xdr:cNvCxnSpPr/>
      </xdr:nvCxnSpPr>
      <xdr:spPr>
        <a:xfrm flipH="1">
          <a:off x="10715625" y="124301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419100</xdr:colOff>
      <xdr:row>69</xdr:row>
      <xdr:rowOff>133350</xdr:rowOff>
    </xdr:from>
    <xdr:to>
      <xdr:col>18</xdr:col>
      <xdr:colOff>552450</xdr:colOff>
      <xdr:row>70</xdr:row>
      <xdr:rowOff>38100</xdr:rowOff>
    </xdr:to>
    <xdr:cxnSp macro="">
      <xdr:nvCxnSpPr>
        <xdr:cNvPr id="79" name="Straight Arrow Connector 78"/>
        <xdr:cNvCxnSpPr/>
      </xdr:nvCxnSpPr>
      <xdr:spPr>
        <a:xfrm flipH="1">
          <a:off x="10706100" y="126206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438150</xdr:colOff>
      <xdr:row>75</xdr:row>
      <xdr:rowOff>152400</xdr:rowOff>
    </xdr:from>
    <xdr:to>
      <xdr:col>18</xdr:col>
      <xdr:colOff>571500</xdr:colOff>
      <xdr:row>76</xdr:row>
      <xdr:rowOff>57150</xdr:rowOff>
    </xdr:to>
    <xdr:cxnSp macro="">
      <xdr:nvCxnSpPr>
        <xdr:cNvPr id="80" name="Straight Arrow Connector 79"/>
        <xdr:cNvCxnSpPr/>
      </xdr:nvCxnSpPr>
      <xdr:spPr>
        <a:xfrm flipH="1">
          <a:off x="10725150" y="137255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428625</xdr:colOff>
      <xdr:row>76</xdr:row>
      <xdr:rowOff>161925</xdr:rowOff>
    </xdr:from>
    <xdr:to>
      <xdr:col>18</xdr:col>
      <xdr:colOff>561975</xdr:colOff>
      <xdr:row>77</xdr:row>
      <xdr:rowOff>66675</xdr:rowOff>
    </xdr:to>
    <xdr:cxnSp macro="">
      <xdr:nvCxnSpPr>
        <xdr:cNvPr id="81" name="Straight Arrow Connector 80"/>
        <xdr:cNvCxnSpPr/>
      </xdr:nvCxnSpPr>
      <xdr:spPr>
        <a:xfrm flipH="1">
          <a:off x="10715625" y="139160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447675</xdr:colOff>
      <xdr:row>82</xdr:row>
      <xdr:rowOff>57150</xdr:rowOff>
    </xdr:from>
    <xdr:to>
      <xdr:col>18</xdr:col>
      <xdr:colOff>581025</xdr:colOff>
      <xdr:row>82</xdr:row>
      <xdr:rowOff>142875</xdr:rowOff>
    </xdr:to>
    <xdr:cxnSp macro="">
      <xdr:nvCxnSpPr>
        <xdr:cNvPr id="82" name="Straight Arrow Connector 81"/>
        <xdr:cNvCxnSpPr/>
      </xdr:nvCxnSpPr>
      <xdr:spPr>
        <a:xfrm flipH="1">
          <a:off x="10734675" y="148971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485775</xdr:colOff>
      <xdr:row>96</xdr:row>
      <xdr:rowOff>66675</xdr:rowOff>
    </xdr:from>
    <xdr:to>
      <xdr:col>18</xdr:col>
      <xdr:colOff>619125</xdr:colOff>
      <xdr:row>96</xdr:row>
      <xdr:rowOff>152400</xdr:rowOff>
    </xdr:to>
    <xdr:cxnSp macro="">
      <xdr:nvCxnSpPr>
        <xdr:cNvPr id="83" name="Straight Arrow Connector 82"/>
        <xdr:cNvCxnSpPr/>
      </xdr:nvCxnSpPr>
      <xdr:spPr>
        <a:xfrm flipH="1">
          <a:off x="10772775" y="17440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97</xdr:row>
      <xdr:rowOff>85725</xdr:rowOff>
    </xdr:from>
    <xdr:to>
      <xdr:col>18</xdr:col>
      <xdr:colOff>666750</xdr:colOff>
      <xdr:row>97</xdr:row>
      <xdr:rowOff>171450</xdr:rowOff>
    </xdr:to>
    <xdr:cxnSp macro="">
      <xdr:nvCxnSpPr>
        <xdr:cNvPr id="84" name="Straight Arrow Connector 83"/>
        <xdr:cNvCxnSpPr/>
      </xdr:nvCxnSpPr>
      <xdr:spPr>
        <a:xfrm flipH="1">
          <a:off x="10820400" y="176403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98</xdr:row>
      <xdr:rowOff>104775</xdr:rowOff>
    </xdr:from>
    <xdr:to>
      <xdr:col>18</xdr:col>
      <xdr:colOff>666750</xdr:colOff>
      <xdr:row>99</xdr:row>
      <xdr:rowOff>9525</xdr:rowOff>
    </xdr:to>
    <xdr:cxnSp macro="">
      <xdr:nvCxnSpPr>
        <xdr:cNvPr id="85" name="Straight Arrow Connector 84"/>
        <xdr:cNvCxnSpPr/>
      </xdr:nvCxnSpPr>
      <xdr:spPr>
        <a:xfrm flipH="1">
          <a:off x="10820400" y="17840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144532</xdr:colOff>
      <xdr:row>97</xdr:row>
      <xdr:rowOff>150330</xdr:rowOff>
    </xdr:from>
    <xdr:to>
      <xdr:col>7</xdr:col>
      <xdr:colOff>401707</xdr:colOff>
      <xdr:row>108</xdr:row>
      <xdr:rowOff>140805</xdr:rowOff>
    </xdr:to>
    <xdr:cxnSp macro="">
      <xdr:nvCxnSpPr>
        <xdr:cNvPr id="86" name="Straight Arrow Connector 85"/>
        <xdr:cNvCxnSpPr/>
      </xdr:nvCxnSpPr>
      <xdr:spPr>
        <a:xfrm flipV="1">
          <a:off x="4956728" y="17825417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36858</xdr:colOff>
      <xdr:row>98</xdr:row>
      <xdr:rowOff>1244</xdr:rowOff>
    </xdr:from>
    <xdr:to>
      <xdr:col>9</xdr:col>
      <xdr:colOff>294033</xdr:colOff>
      <xdr:row>108</xdr:row>
      <xdr:rowOff>173936</xdr:rowOff>
    </xdr:to>
    <xdr:cxnSp macro="">
      <xdr:nvCxnSpPr>
        <xdr:cNvPr id="87" name="Straight Arrow Connector 86"/>
        <xdr:cNvCxnSpPr/>
      </xdr:nvCxnSpPr>
      <xdr:spPr>
        <a:xfrm flipV="1">
          <a:off x="6223967" y="17858548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24848</xdr:colOff>
      <xdr:row>98</xdr:row>
      <xdr:rowOff>33131</xdr:rowOff>
    </xdr:from>
    <xdr:to>
      <xdr:col>12</xdr:col>
      <xdr:colOff>69989</xdr:colOff>
      <xdr:row>109</xdr:row>
      <xdr:rowOff>66263</xdr:rowOff>
    </xdr:to>
    <xdr:cxnSp macro="">
      <xdr:nvCxnSpPr>
        <xdr:cNvPr id="88" name="Straight Arrow Connector 87"/>
        <xdr:cNvCxnSpPr/>
      </xdr:nvCxnSpPr>
      <xdr:spPr>
        <a:xfrm flipH="1" flipV="1">
          <a:off x="8274326" y="17890435"/>
          <a:ext cx="45141" cy="203752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71645</xdr:colOff>
      <xdr:row>49</xdr:row>
      <xdr:rowOff>176006</xdr:rowOff>
    </xdr:from>
    <xdr:to>
      <xdr:col>18</xdr:col>
      <xdr:colOff>633620</xdr:colOff>
      <xdr:row>50</xdr:row>
      <xdr:rowOff>90280</xdr:rowOff>
    </xdr:to>
    <xdr:cxnSp macro="">
      <xdr:nvCxnSpPr>
        <xdr:cNvPr id="92" name="Straight Arrow Connector 91"/>
        <xdr:cNvCxnSpPr/>
      </xdr:nvCxnSpPr>
      <xdr:spPr>
        <a:xfrm flipH="1" flipV="1">
          <a:off x="10383493" y="9104658"/>
          <a:ext cx="2624344" cy="9649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16565</xdr:colOff>
      <xdr:row>16</xdr:row>
      <xdr:rowOff>16981</xdr:rowOff>
    </xdr:from>
    <xdr:to>
      <xdr:col>12</xdr:col>
      <xdr:colOff>130451</xdr:colOff>
      <xdr:row>39</xdr:row>
      <xdr:rowOff>26506</xdr:rowOff>
    </xdr:to>
    <xdr:pic>
      <xdr:nvPicPr>
        <xdr:cNvPr id="44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1304" y="2932459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642730</xdr:colOff>
      <xdr:row>15</xdr:row>
      <xdr:rowOff>140805</xdr:rowOff>
    </xdr:from>
    <xdr:to>
      <xdr:col>12</xdr:col>
      <xdr:colOff>469210</xdr:colOff>
      <xdr:row>40</xdr:row>
      <xdr:rowOff>167724</xdr:rowOff>
    </xdr:to>
    <xdr:sp macro="" textlink="">
      <xdr:nvSpPr>
        <xdr:cNvPr id="46" name="Rectangle 45"/>
        <xdr:cNvSpPr/>
      </xdr:nvSpPr>
      <xdr:spPr>
        <a:xfrm>
          <a:off x="4080013" y="287406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5</xdr:col>
      <xdr:colOff>646043</xdr:colOff>
      <xdr:row>70</xdr:row>
      <xdr:rowOff>9525</xdr:rowOff>
    </xdr:from>
    <xdr:to>
      <xdr:col>12</xdr:col>
      <xdr:colOff>216177</xdr:colOff>
      <xdr:row>91</xdr:row>
      <xdr:rowOff>82825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326" y="12764742"/>
          <a:ext cx="4382329" cy="3899866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461342</xdr:colOff>
      <xdr:row>68</xdr:row>
      <xdr:rowOff>107673</xdr:rowOff>
    </xdr:from>
    <xdr:to>
      <xdr:col>12</xdr:col>
      <xdr:colOff>287822</xdr:colOff>
      <xdr:row>93</xdr:row>
      <xdr:rowOff>134593</xdr:rowOff>
    </xdr:to>
    <xdr:sp macro="" textlink="">
      <xdr:nvSpPr>
        <xdr:cNvPr id="54" name="Rectangle 53"/>
        <xdr:cNvSpPr/>
      </xdr:nvSpPr>
      <xdr:spPr>
        <a:xfrm>
          <a:off x="3898625" y="1249845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480806</xdr:colOff>
      <xdr:row>83</xdr:row>
      <xdr:rowOff>98564</xdr:rowOff>
    </xdr:from>
    <xdr:to>
      <xdr:col>18</xdr:col>
      <xdr:colOff>614156</xdr:colOff>
      <xdr:row>84</xdr:row>
      <xdr:rowOff>2071</xdr:rowOff>
    </xdr:to>
    <xdr:cxnSp macro="">
      <xdr:nvCxnSpPr>
        <xdr:cNvPr id="59" name="Straight Arrow Connector 58"/>
        <xdr:cNvCxnSpPr/>
      </xdr:nvCxnSpPr>
      <xdr:spPr>
        <a:xfrm flipH="1">
          <a:off x="10792654" y="15222607"/>
          <a:ext cx="2195719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433181</xdr:colOff>
      <xdr:row>34</xdr:row>
      <xdr:rowOff>25400</xdr:rowOff>
    </xdr:from>
    <xdr:to>
      <xdr:col>9</xdr:col>
      <xdr:colOff>204581</xdr:colOff>
      <xdr:row>56</xdr:row>
      <xdr:rowOff>82549</xdr:rowOff>
    </xdr:to>
    <xdr:pic>
      <xdr:nvPicPr>
        <xdr:cNvPr id="23" name="Picture 2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181" y="9152835"/>
          <a:ext cx="5958509" cy="4065932"/>
        </a:xfrm>
        <a:prstGeom prst="rect">
          <a:avLst/>
        </a:prstGeom>
      </xdr:spPr>
    </xdr:pic>
    <xdr:clientData/>
  </xdr:twoCellAnchor>
  <xdr:twoCellAnchor editAs="oneCell">
    <xdr:from>
      <xdr:col>11</xdr:col>
      <xdr:colOff>646043</xdr:colOff>
      <xdr:row>15</xdr:row>
      <xdr:rowOff>32928</xdr:rowOff>
    </xdr:from>
    <xdr:to>
      <xdr:col>16</xdr:col>
      <xdr:colOff>268306</xdr:colOff>
      <xdr:row>27</xdr:row>
      <xdr:rowOff>173935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6470"/>
        <a:stretch/>
      </xdr:blipFill>
      <xdr:spPr>
        <a:xfrm>
          <a:off x="8208065" y="2774471"/>
          <a:ext cx="3059545" cy="2344181"/>
        </a:xfrm>
        <a:prstGeom prst="rect">
          <a:avLst/>
        </a:prstGeom>
      </xdr:spPr>
    </xdr:pic>
    <xdr:clientData/>
  </xdr:twoCellAnchor>
  <xdr:twoCellAnchor editAs="oneCell">
    <xdr:from>
      <xdr:col>12</xdr:col>
      <xdr:colOff>369404</xdr:colOff>
      <xdr:row>34</xdr:row>
      <xdr:rowOff>115680</xdr:rowOff>
    </xdr:from>
    <xdr:to>
      <xdr:col>16</xdr:col>
      <xdr:colOff>635710</xdr:colOff>
      <xdr:row>48</xdr:row>
      <xdr:rowOff>58530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18882" y="6385615"/>
          <a:ext cx="3016132" cy="2493893"/>
        </a:xfrm>
        <a:prstGeom prst="rect">
          <a:avLst/>
        </a:prstGeom>
        <a:solidFill>
          <a:srgbClr val="FF0000"/>
        </a:solidFill>
        <a:ln>
          <a:solidFill>
            <a:schemeClr val="accent1">
              <a:shade val="50000"/>
              <a:alpha val="0"/>
            </a:schemeClr>
          </a:solidFill>
        </a:ln>
      </xdr:spPr>
    </xdr:pic>
    <xdr:clientData/>
  </xdr:twoCellAnchor>
  <xdr:twoCellAnchor>
    <xdr:from>
      <xdr:col>12</xdr:col>
      <xdr:colOff>414131</xdr:colOff>
      <xdr:row>39</xdr:row>
      <xdr:rowOff>21981</xdr:rowOff>
    </xdr:from>
    <xdr:to>
      <xdr:col>16</xdr:col>
      <xdr:colOff>397566</xdr:colOff>
      <xdr:row>40</xdr:row>
      <xdr:rowOff>16565</xdr:rowOff>
    </xdr:to>
    <xdr:sp macro="" textlink="">
      <xdr:nvSpPr>
        <xdr:cNvPr id="7" name="Rectangle 6"/>
        <xdr:cNvSpPr/>
      </xdr:nvSpPr>
      <xdr:spPr>
        <a:xfrm>
          <a:off x="8678900" y="7231673"/>
          <a:ext cx="2738358" cy="177757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250072</xdr:colOff>
      <xdr:row>38</xdr:row>
      <xdr:rowOff>58617</xdr:rowOff>
    </xdr:from>
    <xdr:to>
      <xdr:col>16</xdr:col>
      <xdr:colOff>395654</xdr:colOff>
      <xdr:row>39</xdr:row>
      <xdr:rowOff>43962</xdr:rowOff>
    </xdr:to>
    <xdr:sp macro="" textlink="">
      <xdr:nvSpPr>
        <xdr:cNvPr id="24" name="Rectangle 23"/>
        <xdr:cNvSpPr/>
      </xdr:nvSpPr>
      <xdr:spPr>
        <a:xfrm>
          <a:off x="9892303" y="7085136"/>
          <a:ext cx="1523043" cy="16851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521805</xdr:colOff>
      <xdr:row>71</xdr:row>
      <xdr:rowOff>157370</xdr:rowOff>
    </xdr:from>
    <xdr:to>
      <xdr:col>7</xdr:col>
      <xdr:colOff>109609</xdr:colOff>
      <xdr:row>79</xdr:row>
      <xdr:rowOff>56381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2355" b="-1"/>
        <a:stretch/>
      </xdr:blipFill>
      <xdr:spPr>
        <a:xfrm>
          <a:off x="521805" y="16159370"/>
          <a:ext cx="4400000" cy="13567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530087</xdr:colOff>
      <xdr:row>69</xdr:row>
      <xdr:rowOff>24849</xdr:rowOff>
    </xdr:from>
    <xdr:to>
      <xdr:col>18</xdr:col>
      <xdr:colOff>513636</xdr:colOff>
      <xdr:row>76</xdr:row>
      <xdr:rowOff>140805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376" t="1164" r="376" b="46190"/>
        <a:stretch/>
      </xdr:blipFill>
      <xdr:spPr>
        <a:xfrm>
          <a:off x="8779565" y="12788349"/>
          <a:ext cx="4108288" cy="1399760"/>
        </a:xfrm>
        <a:prstGeom prst="rect">
          <a:avLst/>
        </a:prstGeom>
      </xdr:spPr>
    </xdr:pic>
    <xdr:clientData/>
  </xdr:twoCellAnchor>
  <xdr:twoCellAnchor editAs="oneCell">
    <xdr:from>
      <xdr:col>0</xdr:col>
      <xdr:colOff>41413</xdr:colOff>
      <xdr:row>94</xdr:row>
      <xdr:rowOff>49694</xdr:rowOff>
    </xdr:from>
    <xdr:to>
      <xdr:col>11</xdr:col>
      <xdr:colOff>50819</xdr:colOff>
      <xdr:row>106</xdr:row>
      <xdr:rowOff>8281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42245"/>
        <a:stretch/>
      </xdr:blipFill>
      <xdr:spPr>
        <a:xfrm>
          <a:off x="41413" y="20151585"/>
          <a:ext cx="7571428" cy="2145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107676</xdr:rowOff>
    </xdr:from>
    <xdr:to>
      <xdr:col>12</xdr:col>
      <xdr:colOff>372718</xdr:colOff>
      <xdr:row>132</xdr:row>
      <xdr:rowOff>121671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573"/>
        <a:stretch/>
      </xdr:blipFill>
      <xdr:spPr>
        <a:xfrm>
          <a:off x="0" y="22213959"/>
          <a:ext cx="8622196" cy="4933864"/>
        </a:xfrm>
        <a:prstGeom prst="rect">
          <a:avLst/>
        </a:prstGeom>
      </xdr:spPr>
    </xdr:pic>
    <xdr:clientData/>
  </xdr:twoCellAnchor>
  <xdr:twoCellAnchor editAs="oneCell">
    <xdr:from>
      <xdr:col>0</xdr:col>
      <xdr:colOff>280147</xdr:colOff>
      <xdr:row>142</xdr:row>
      <xdr:rowOff>0</xdr:rowOff>
    </xdr:from>
    <xdr:to>
      <xdr:col>11</xdr:col>
      <xdr:colOff>289553</xdr:colOff>
      <xdr:row>146</xdr:row>
      <xdr:rowOff>78441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60903" b="17321"/>
        <a:stretch/>
      </xdr:blipFill>
      <xdr:spPr>
        <a:xfrm>
          <a:off x="280147" y="25672676"/>
          <a:ext cx="7528553" cy="79561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672353</xdr:colOff>
      <xdr:row>148</xdr:row>
      <xdr:rowOff>44823</xdr:rowOff>
    </xdr:from>
    <xdr:to>
      <xdr:col>12</xdr:col>
      <xdr:colOff>660123</xdr:colOff>
      <xdr:row>157</xdr:row>
      <xdr:rowOff>135938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2353" y="26804470"/>
          <a:ext cx="8190476" cy="17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107674</xdr:colOff>
      <xdr:row>163</xdr:row>
      <xdr:rowOff>165652</xdr:rowOff>
    </xdr:from>
    <xdr:to>
      <xdr:col>20</xdr:col>
      <xdr:colOff>278173</xdr:colOff>
      <xdr:row>168</xdr:row>
      <xdr:rowOff>25994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32065" y="30090717"/>
          <a:ext cx="4295238" cy="7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115957</xdr:colOff>
      <xdr:row>174</xdr:row>
      <xdr:rowOff>66260</xdr:rowOff>
    </xdr:from>
    <xdr:to>
      <xdr:col>6</xdr:col>
      <xdr:colOff>143599</xdr:colOff>
      <xdr:row>181</xdr:row>
      <xdr:rowOff>1504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957" y="31995717"/>
          <a:ext cx="4152381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33131</xdr:colOff>
      <xdr:row>181</xdr:row>
      <xdr:rowOff>57979</xdr:rowOff>
    </xdr:from>
    <xdr:to>
      <xdr:col>5</xdr:col>
      <xdr:colOff>670891</xdr:colOff>
      <xdr:row>184</xdr:row>
      <xdr:rowOff>28229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8044" y="33271240"/>
          <a:ext cx="2700130" cy="51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16968</xdr:rowOff>
    </xdr:from>
    <xdr:to>
      <xdr:col>10</xdr:col>
      <xdr:colOff>1453</xdr:colOff>
      <xdr:row>207</xdr:row>
      <xdr:rowOff>74544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1624" b="41895"/>
        <a:stretch/>
      </xdr:blipFill>
      <xdr:spPr>
        <a:xfrm>
          <a:off x="0" y="35615620"/>
          <a:ext cx="6876018" cy="2426402"/>
        </a:xfrm>
        <a:prstGeom prst="rect">
          <a:avLst/>
        </a:prstGeom>
      </xdr:spPr>
    </xdr:pic>
    <xdr:clientData/>
  </xdr:twoCellAnchor>
  <xdr:twoCellAnchor editAs="oneCell">
    <xdr:from>
      <xdr:col>14</xdr:col>
      <xdr:colOff>215349</xdr:colOff>
      <xdr:row>188</xdr:row>
      <xdr:rowOff>165652</xdr:rowOff>
    </xdr:from>
    <xdr:to>
      <xdr:col>18</xdr:col>
      <xdr:colOff>496958</xdr:colOff>
      <xdr:row>192</xdr:row>
      <xdr:rowOff>67709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39740" y="34654435"/>
          <a:ext cx="3031435" cy="647491"/>
        </a:xfrm>
        <a:prstGeom prst="rect">
          <a:avLst/>
        </a:prstGeom>
      </xdr:spPr>
    </xdr:pic>
    <xdr:clientData/>
  </xdr:twoCellAnchor>
  <xdr:twoCellAnchor editAs="oneCell">
    <xdr:from>
      <xdr:col>13</xdr:col>
      <xdr:colOff>505239</xdr:colOff>
      <xdr:row>208</xdr:row>
      <xdr:rowOff>140802</xdr:rowOff>
    </xdr:from>
    <xdr:to>
      <xdr:col>18</xdr:col>
      <xdr:colOff>472109</xdr:colOff>
      <xdr:row>224</xdr:row>
      <xdr:rowOff>127166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42174" y="38290498"/>
          <a:ext cx="3404152" cy="2910125"/>
        </a:xfrm>
        <a:prstGeom prst="rect">
          <a:avLst/>
        </a:prstGeom>
      </xdr:spPr>
    </xdr:pic>
    <xdr:clientData/>
  </xdr:twoCellAnchor>
  <xdr:twoCellAnchor editAs="oneCell">
    <xdr:from>
      <xdr:col>15</xdr:col>
      <xdr:colOff>527541</xdr:colOff>
      <xdr:row>191</xdr:row>
      <xdr:rowOff>149086</xdr:rowOff>
    </xdr:from>
    <xdr:to>
      <xdr:col>19</xdr:col>
      <xdr:colOff>535822</xdr:colOff>
      <xdr:row>208</xdr:row>
      <xdr:rowOff>8174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58503" y="35362278"/>
          <a:ext cx="2763204" cy="2973031"/>
        </a:xfrm>
        <a:prstGeom prst="rect">
          <a:avLst/>
        </a:prstGeom>
      </xdr:spPr>
    </xdr:pic>
    <xdr:clientData/>
  </xdr:twoCellAnchor>
  <xdr:twoCellAnchor>
    <xdr:from>
      <xdr:col>15</xdr:col>
      <xdr:colOff>505239</xdr:colOff>
      <xdr:row>212</xdr:row>
      <xdr:rowOff>99391</xdr:rowOff>
    </xdr:from>
    <xdr:to>
      <xdr:col>17</xdr:col>
      <xdr:colOff>447261</xdr:colOff>
      <xdr:row>213</xdr:row>
      <xdr:rowOff>57978</xdr:rowOff>
    </xdr:to>
    <xdr:sp macro="" textlink="">
      <xdr:nvSpPr>
        <xdr:cNvPr id="36" name="Rectangle 35"/>
        <xdr:cNvSpPr/>
      </xdr:nvSpPr>
      <xdr:spPr>
        <a:xfrm>
          <a:off x="10817087" y="38977956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496956</xdr:colOff>
      <xdr:row>214</xdr:row>
      <xdr:rowOff>132521</xdr:rowOff>
    </xdr:from>
    <xdr:to>
      <xdr:col>17</xdr:col>
      <xdr:colOff>438978</xdr:colOff>
      <xdr:row>215</xdr:row>
      <xdr:rowOff>91109</xdr:rowOff>
    </xdr:to>
    <xdr:sp macro="" textlink="">
      <xdr:nvSpPr>
        <xdr:cNvPr id="37" name="Rectangle 36"/>
        <xdr:cNvSpPr/>
      </xdr:nvSpPr>
      <xdr:spPr>
        <a:xfrm>
          <a:off x="10808804" y="39375521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231914</xdr:colOff>
      <xdr:row>217</xdr:row>
      <xdr:rowOff>157371</xdr:rowOff>
    </xdr:from>
    <xdr:to>
      <xdr:col>18</xdr:col>
      <xdr:colOff>306458</xdr:colOff>
      <xdr:row>219</xdr:row>
      <xdr:rowOff>107674</xdr:rowOff>
    </xdr:to>
    <xdr:sp macro="" textlink="">
      <xdr:nvSpPr>
        <xdr:cNvPr id="38" name="Rectangle 37"/>
        <xdr:cNvSpPr/>
      </xdr:nvSpPr>
      <xdr:spPr>
        <a:xfrm>
          <a:off x="9856305" y="39947023"/>
          <a:ext cx="2824370" cy="31473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0</xdr:colOff>
      <xdr:row>238</xdr:row>
      <xdr:rowOff>0</xdr:rowOff>
    </xdr:from>
    <xdr:to>
      <xdr:col>12</xdr:col>
      <xdr:colOff>231940</xdr:colOff>
      <xdr:row>243</xdr:row>
      <xdr:rowOff>88913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2370" y="43641065"/>
          <a:ext cx="6419048" cy="1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24848</xdr:colOff>
      <xdr:row>244</xdr:row>
      <xdr:rowOff>173935</xdr:rowOff>
    </xdr:from>
    <xdr:to>
      <xdr:col>20</xdr:col>
      <xdr:colOff>195347</xdr:colOff>
      <xdr:row>253</xdr:row>
      <xdr:rowOff>59029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49239" y="44908305"/>
          <a:ext cx="4295238" cy="15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260</xdr:row>
      <xdr:rowOff>0</xdr:rowOff>
    </xdr:from>
    <xdr:to>
      <xdr:col>20</xdr:col>
      <xdr:colOff>227642</xdr:colOff>
      <xdr:row>264</xdr:row>
      <xdr:rowOff>91419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624391" y="47658130"/>
          <a:ext cx="4352381" cy="8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271</xdr:row>
      <xdr:rowOff>0</xdr:rowOff>
    </xdr:from>
    <xdr:to>
      <xdr:col>19</xdr:col>
      <xdr:colOff>91110</xdr:colOff>
      <xdr:row>283</xdr:row>
      <xdr:rowOff>18836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24392" y="49679087"/>
          <a:ext cx="3528392" cy="2213726"/>
        </a:xfrm>
        <a:prstGeom prst="rect">
          <a:avLst/>
        </a:prstGeom>
      </xdr:spPr>
    </xdr:pic>
    <xdr:clientData/>
  </xdr:twoCellAnchor>
  <xdr:twoCellAnchor editAs="oneCell">
    <xdr:from>
      <xdr:col>13</xdr:col>
      <xdr:colOff>676275</xdr:colOff>
      <xdr:row>269</xdr:row>
      <xdr:rowOff>57150</xdr:rowOff>
    </xdr:from>
    <xdr:to>
      <xdr:col>19</xdr:col>
      <xdr:colOff>609094</xdr:colOff>
      <xdr:row>270</xdr:row>
      <xdr:rowOff>161889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91675" y="49044225"/>
          <a:ext cx="4047619" cy="285714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288</xdr:row>
      <xdr:rowOff>9525</xdr:rowOff>
    </xdr:from>
    <xdr:to>
      <xdr:col>25</xdr:col>
      <xdr:colOff>200025</xdr:colOff>
      <xdr:row>300</xdr:row>
      <xdr:rowOff>64148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15550" y="52463700"/>
          <a:ext cx="7229475" cy="2226322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228601</xdr:colOff>
      <xdr:row>306</xdr:row>
      <xdr:rowOff>65653</xdr:rowOff>
    </xdr:from>
    <xdr:to>
      <xdr:col>20</xdr:col>
      <xdr:colOff>200025</xdr:colOff>
      <xdr:row>319</xdr:row>
      <xdr:rowOff>58208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15601" y="55777378"/>
          <a:ext cx="3400424" cy="2354754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315</xdr:row>
      <xdr:rowOff>76200</xdr:rowOff>
    </xdr:from>
    <xdr:to>
      <xdr:col>11</xdr:col>
      <xdr:colOff>132487</xdr:colOff>
      <xdr:row>330</xdr:row>
      <xdr:rowOff>142527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57426225"/>
          <a:ext cx="6904762" cy="27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341</xdr:row>
      <xdr:rowOff>18318</xdr:rowOff>
    </xdr:from>
    <xdr:to>
      <xdr:col>6</xdr:col>
      <xdr:colOff>18829</xdr:colOff>
      <xdr:row>344</xdr:row>
      <xdr:rowOff>163305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0992" y="62780741"/>
          <a:ext cx="1780222" cy="694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171450</xdr:rowOff>
    </xdr:from>
    <xdr:to>
      <xdr:col>9</xdr:col>
      <xdr:colOff>502458</xdr:colOff>
      <xdr:row>380</xdr:row>
      <xdr:rowOff>114301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2779275"/>
          <a:ext cx="6674658" cy="645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345</xdr:row>
      <xdr:rowOff>20411</xdr:rowOff>
    </xdr:from>
    <xdr:to>
      <xdr:col>17</xdr:col>
      <xdr:colOff>675986</xdr:colOff>
      <xdr:row>352</xdr:row>
      <xdr:rowOff>139979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944100" y="61511090"/>
          <a:ext cx="2297957" cy="1357818"/>
        </a:xfrm>
        <a:prstGeom prst="rect">
          <a:avLst/>
        </a:prstGeom>
      </xdr:spPr>
    </xdr:pic>
    <xdr:clientData/>
  </xdr:twoCellAnchor>
  <xdr:twoCellAnchor editAs="oneCell">
    <xdr:from>
      <xdr:col>16</xdr:col>
      <xdr:colOff>249116</xdr:colOff>
      <xdr:row>359</xdr:row>
      <xdr:rowOff>131883</xdr:rowOff>
    </xdr:from>
    <xdr:to>
      <xdr:col>17</xdr:col>
      <xdr:colOff>21981</xdr:colOff>
      <xdr:row>361</xdr:row>
      <xdr:rowOff>157528</xdr:rowOff>
    </xdr:to>
    <xdr:pic>
      <xdr:nvPicPr>
        <xdr:cNvPr id="51" name="Picture 50"/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4344" t="39951" r="65799" b="32183"/>
        <a:stretch/>
      </xdr:blipFill>
      <xdr:spPr>
        <a:xfrm>
          <a:off x="9202616" y="66374595"/>
          <a:ext cx="461596" cy="391991"/>
        </a:xfrm>
        <a:prstGeom prst="rect">
          <a:avLst/>
        </a:prstGeom>
      </xdr:spPr>
    </xdr:pic>
    <xdr:clientData/>
  </xdr:twoCellAnchor>
  <xdr:twoCellAnchor editAs="oneCell">
    <xdr:from>
      <xdr:col>18</xdr:col>
      <xdr:colOff>21980</xdr:colOff>
      <xdr:row>354</xdr:row>
      <xdr:rowOff>51288</xdr:rowOff>
    </xdr:from>
    <xdr:to>
      <xdr:col>21</xdr:col>
      <xdr:colOff>384699</xdr:colOff>
      <xdr:row>367</xdr:row>
      <xdr:rowOff>43400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52942" y="65378134"/>
          <a:ext cx="2428910" cy="2373363"/>
        </a:xfrm>
        <a:prstGeom prst="rect">
          <a:avLst/>
        </a:prstGeom>
      </xdr:spPr>
    </xdr:pic>
    <xdr:clientData/>
  </xdr:twoCellAnchor>
  <xdr:twoCellAnchor>
    <xdr:from>
      <xdr:col>16</xdr:col>
      <xdr:colOff>58614</xdr:colOff>
      <xdr:row>356</xdr:row>
      <xdr:rowOff>36635</xdr:rowOff>
    </xdr:from>
    <xdr:to>
      <xdr:col>18</xdr:col>
      <xdr:colOff>124557</xdr:colOff>
      <xdr:row>357</xdr:row>
      <xdr:rowOff>153866</xdr:rowOff>
    </xdr:to>
    <xdr:sp macro="" textlink="">
      <xdr:nvSpPr>
        <xdr:cNvPr id="53" name="Rectangle 52"/>
        <xdr:cNvSpPr/>
      </xdr:nvSpPr>
      <xdr:spPr>
        <a:xfrm>
          <a:off x="9012114" y="65729827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Ly Longer direction</a:t>
          </a:r>
        </a:p>
      </xdr:txBody>
    </xdr:sp>
    <xdr:clientData/>
  </xdr:twoCellAnchor>
  <xdr:twoCellAnchor>
    <xdr:from>
      <xdr:col>13</xdr:col>
      <xdr:colOff>468922</xdr:colOff>
      <xdr:row>360</xdr:row>
      <xdr:rowOff>43961</xdr:rowOff>
    </xdr:from>
    <xdr:to>
      <xdr:col>15</xdr:col>
      <xdr:colOff>534866</xdr:colOff>
      <xdr:row>361</xdr:row>
      <xdr:rowOff>161192</xdr:rowOff>
    </xdr:to>
    <xdr:sp macro="" textlink="">
      <xdr:nvSpPr>
        <xdr:cNvPr id="54" name="Rectangle 53"/>
        <xdr:cNvSpPr/>
      </xdr:nvSpPr>
      <xdr:spPr>
        <a:xfrm>
          <a:off x="7356230" y="66469846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Lx Short direction</a:t>
          </a:r>
        </a:p>
      </xdr:txBody>
    </xdr:sp>
    <xdr:clientData/>
  </xdr:twoCellAnchor>
  <xdr:twoCellAnchor>
    <xdr:from>
      <xdr:col>16</xdr:col>
      <xdr:colOff>446942</xdr:colOff>
      <xdr:row>357</xdr:row>
      <xdr:rowOff>161193</xdr:rowOff>
    </xdr:from>
    <xdr:to>
      <xdr:col>16</xdr:col>
      <xdr:colOff>479914</xdr:colOff>
      <xdr:row>359</xdr:row>
      <xdr:rowOff>131883</xdr:rowOff>
    </xdr:to>
    <xdr:cxnSp macro="">
      <xdr:nvCxnSpPr>
        <xdr:cNvPr id="56" name="Straight Arrow Connector 55"/>
        <xdr:cNvCxnSpPr>
          <a:endCxn id="51" idx="0"/>
        </xdr:cNvCxnSpPr>
      </xdr:nvCxnSpPr>
      <xdr:spPr>
        <a:xfrm>
          <a:off x="9400442" y="66037558"/>
          <a:ext cx="32972" cy="3370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534866</xdr:colOff>
      <xdr:row>360</xdr:row>
      <xdr:rowOff>144706</xdr:rowOff>
    </xdr:from>
    <xdr:to>
      <xdr:col>16</xdr:col>
      <xdr:colOff>249116</xdr:colOff>
      <xdr:row>361</xdr:row>
      <xdr:rowOff>10990</xdr:rowOff>
    </xdr:to>
    <xdr:cxnSp macro="">
      <xdr:nvCxnSpPr>
        <xdr:cNvPr id="58" name="Straight Arrow Connector 57"/>
        <xdr:cNvCxnSpPr>
          <a:stCxn id="54" idx="3"/>
          <a:endCxn id="51" idx="1"/>
        </xdr:cNvCxnSpPr>
      </xdr:nvCxnSpPr>
      <xdr:spPr>
        <a:xfrm flipV="1">
          <a:off x="8799635" y="66570591"/>
          <a:ext cx="402981" cy="494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476250</xdr:colOff>
      <xdr:row>331</xdr:row>
      <xdr:rowOff>29308</xdr:rowOff>
    </xdr:from>
    <xdr:to>
      <xdr:col>20</xdr:col>
      <xdr:colOff>274073</xdr:colOff>
      <xdr:row>335</xdr:row>
      <xdr:rowOff>14654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07212" y="60952673"/>
          <a:ext cx="3241476" cy="725366"/>
        </a:xfrm>
        <a:prstGeom prst="rect">
          <a:avLst/>
        </a:prstGeom>
      </xdr:spPr>
    </xdr:pic>
    <xdr:clientData/>
  </xdr:twoCellAnchor>
  <xdr:twoCellAnchor editAs="oneCell">
    <xdr:from>
      <xdr:col>0</xdr:col>
      <xdr:colOff>366347</xdr:colOff>
      <xdr:row>382</xdr:row>
      <xdr:rowOff>116513</xdr:rowOff>
    </xdr:from>
    <xdr:to>
      <xdr:col>4</xdr:col>
      <xdr:colOff>527540</xdr:colOff>
      <xdr:row>396</xdr:row>
      <xdr:rowOff>42796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347" y="70396359"/>
          <a:ext cx="2916116" cy="2490706"/>
        </a:xfrm>
        <a:prstGeom prst="rect">
          <a:avLst/>
        </a:prstGeom>
      </xdr:spPr>
    </xdr:pic>
    <xdr:clientData/>
  </xdr:twoCellAnchor>
  <xdr:twoCellAnchor editAs="oneCell">
    <xdr:from>
      <xdr:col>4</xdr:col>
      <xdr:colOff>652096</xdr:colOff>
      <xdr:row>382</xdr:row>
      <xdr:rowOff>65942</xdr:rowOff>
    </xdr:from>
    <xdr:to>
      <xdr:col>9</xdr:col>
      <xdr:colOff>324549</xdr:colOff>
      <xdr:row>400</xdr:row>
      <xdr:rowOff>175845</xdr:rowOff>
    </xdr:to>
    <xdr:pic>
      <xdr:nvPicPr>
        <xdr:cNvPr id="61" name="Picture 60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3407019" y="70345788"/>
          <a:ext cx="3116107" cy="3407019"/>
        </a:xfrm>
        <a:prstGeom prst="rect">
          <a:avLst/>
        </a:prstGeom>
      </xdr:spPr>
    </xdr:pic>
    <xdr:clientData/>
  </xdr:twoCellAnchor>
  <xdr:twoCellAnchor editAs="oneCell">
    <xdr:from>
      <xdr:col>0</xdr:col>
      <xdr:colOff>373672</xdr:colOff>
      <xdr:row>396</xdr:row>
      <xdr:rowOff>80598</xdr:rowOff>
    </xdr:from>
    <xdr:to>
      <xdr:col>5</xdr:col>
      <xdr:colOff>46125</xdr:colOff>
      <xdr:row>404</xdr:row>
      <xdr:rowOff>146539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291" b="68553"/>
        <a:stretch/>
      </xdr:blipFill>
      <xdr:spPr>
        <a:xfrm>
          <a:off x="373672" y="72924867"/>
          <a:ext cx="3116107" cy="15313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542192</xdr:colOff>
      <xdr:row>408</xdr:row>
      <xdr:rowOff>80071</xdr:rowOff>
    </xdr:from>
    <xdr:to>
      <xdr:col>5</xdr:col>
      <xdr:colOff>29307</xdr:colOff>
      <xdr:row>411</xdr:row>
      <xdr:rowOff>66582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2192" y="75137071"/>
          <a:ext cx="2930769" cy="536031"/>
        </a:xfrm>
        <a:prstGeom prst="rect">
          <a:avLst/>
        </a:prstGeom>
      </xdr:spPr>
    </xdr:pic>
    <xdr:clientData/>
  </xdr:twoCellAnchor>
  <xdr:twoCellAnchor editAs="oneCell">
    <xdr:from>
      <xdr:col>0</xdr:col>
      <xdr:colOff>534865</xdr:colOff>
      <xdr:row>411</xdr:row>
      <xdr:rowOff>32459</xdr:rowOff>
    </xdr:from>
    <xdr:to>
      <xdr:col>4</xdr:col>
      <xdr:colOff>600808</xdr:colOff>
      <xdr:row>415</xdr:row>
      <xdr:rowOff>101908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34865" y="75638978"/>
          <a:ext cx="2820866" cy="802142"/>
        </a:xfrm>
        <a:prstGeom prst="rect">
          <a:avLst/>
        </a:prstGeom>
      </xdr:spPr>
    </xdr:pic>
    <xdr:clientData/>
  </xdr:twoCellAnchor>
  <xdr:twoCellAnchor editAs="oneCell">
    <xdr:from>
      <xdr:col>5</xdr:col>
      <xdr:colOff>139212</xdr:colOff>
      <xdr:row>408</xdr:row>
      <xdr:rowOff>108967</xdr:rowOff>
    </xdr:from>
    <xdr:to>
      <xdr:col>9</xdr:col>
      <xdr:colOff>0</xdr:colOff>
      <xdr:row>412</xdr:row>
      <xdr:rowOff>120019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82866" y="75165967"/>
          <a:ext cx="2615711" cy="743745"/>
        </a:xfrm>
        <a:prstGeom prst="rect">
          <a:avLst/>
        </a:prstGeom>
      </xdr:spPr>
    </xdr:pic>
    <xdr:clientData/>
  </xdr:twoCellAnchor>
  <xdr:twoCellAnchor editAs="oneCell">
    <xdr:from>
      <xdr:col>0</xdr:col>
      <xdr:colOff>446944</xdr:colOff>
      <xdr:row>415</xdr:row>
      <xdr:rowOff>155858</xdr:rowOff>
    </xdr:from>
    <xdr:to>
      <xdr:col>8</xdr:col>
      <xdr:colOff>366348</xdr:colOff>
      <xdr:row>422</xdr:row>
      <xdr:rowOff>57653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6944" y="76495070"/>
          <a:ext cx="5429250" cy="1184006"/>
        </a:xfrm>
        <a:prstGeom prst="rect">
          <a:avLst/>
        </a:prstGeom>
      </xdr:spPr>
    </xdr:pic>
    <xdr:clientData/>
  </xdr:twoCellAnchor>
  <xdr:twoCellAnchor editAs="oneCell">
    <xdr:from>
      <xdr:col>14</xdr:col>
      <xdr:colOff>539051</xdr:colOff>
      <xdr:row>424</xdr:row>
      <xdr:rowOff>124558</xdr:rowOff>
    </xdr:from>
    <xdr:to>
      <xdr:col>19</xdr:col>
      <xdr:colOff>211504</xdr:colOff>
      <xdr:row>443</xdr:row>
      <xdr:rowOff>50243</xdr:rowOff>
    </xdr:to>
    <xdr:pic>
      <xdr:nvPicPr>
        <xdr:cNvPr id="67" name="Picture 66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10064051" y="75616987"/>
          <a:ext cx="3074239" cy="330025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456</xdr:row>
      <xdr:rowOff>163286</xdr:rowOff>
    </xdr:from>
    <xdr:to>
      <xdr:col>10</xdr:col>
      <xdr:colOff>229191</xdr:colOff>
      <xdr:row>474</xdr:row>
      <xdr:rowOff>122071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0857" y="81343500"/>
          <a:ext cx="6161905" cy="3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356152</xdr:colOff>
      <xdr:row>502</xdr:row>
      <xdr:rowOff>173935</xdr:rowOff>
    </xdr:from>
    <xdr:to>
      <xdr:col>5</xdr:col>
      <xdr:colOff>113057</xdr:colOff>
      <xdr:row>506</xdr:row>
      <xdr:rowOff>68635</xdr:rowOff>
    </xdr:to>
    <xdr:pic>
      <xdr:nvPicPr>
        <xdr:cNvPr id="55" name="Picture 54"/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1065" y="92028065"/>
          <a:ext cx="1819275" cy="623570"/>
        </a:xfrm>
        <a:prstGeom prst="rect">
          <a:avLst/>
        </a:prstGeom>
      </xdr:spPr>
    </xdr:pic>
    <xdr:clientData/>
  </xdr:twoCellAnchor>
  <xdr:twoCellAnchor editAs="oneCell">
    <xdr:from>
      <xdr:col>4</xdr:col>
      <xdr:colOff>107674</xdr:colOff>
      <xdr:row>506</xdr:row>
      <xdr:rowOff>132522</xdr:rowOff>
    </xdr:from>
    <xdr:to>
      <xdr:col>6</xdr:col>
      <xdr:colOff>670781</xdr:colOff>
      <xdr:row>509</xdr:row>
      <xdr:rowOff>44975</xdr:rowOff>
    </xdr:to>
    <xdr:pic>
      <xdr:nvPicPr>
        <xdr:cNvPr id="57" name="Picture 56"/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57500" y="92715522"/>
          <a:ext cx="1938020" cy="459105"/>
        </a:xfrm>
        <a:prstGeom prst="rect">
          <a:avLst/>
        </a:prstGeom>
      </xdr:spPr>
    </xdr:pic>
    <xdr:clientData/>
  </xdr:twoCellAnchor>
  <xdr:twoCellAnchor editAs="oneCell">
    <xdr:from>
      <xdr:col>15</xdr:col>
      <xdr:colOff>356303</xdr:colOff>
      <xdr:row>497</xdr:row>
      <xdr:rowOff>132201</xdr:rowOff>
    </xdr:from>
    <xdr:to>
      <xdr:col>20</xdr:col>
      <xdr:colOff>220475</xdr:colOff>
      <xdr:row>511</xdr:row>
      <xdr:rowOff>112272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687265" y="91513586"/>
          <a:ext cx="3307825" cy="2544494"/>
        </a:xfrm>
        <a:prstGeom prst="rect">
          <a:avLst/>
        </a:prstGeom>
      </xdr:spPr>
    </xdr:pic>
    <xdr:clientData/>
  </xdr:twoCellAnchor>
  <xdr:twoCellAnchor editAs="oneCell">
    <xdr:from>
      <xdr:col>20</xdr:col>
      <xdr:colOff>288664</xdr:colOff>
      <xdr:row>499</xdr:row>
      <xdr:rowOff>78684</xdr:rowOff>
    </xdr:from>
    <xdr:to>
      <xdr:col>25</xdr:col>
      <xdr:colOff>302516</xdr:colOff>
      <xdr:row>514</xdr:row>
      <xdr:rowOff>65944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063279" y="91826415"/>
          <a:ext cx="3457506" cy="274218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479</xdr:row>
      <xdr:rowOff>130646</xdr:rowOff>
    </xdr:from>
    <xdr:to>
      <xdr:col>19</xdr:col>
      <xdr:colOff>425067</xdr:colOff>
      <xdr:row>491</xdr:row>
      <xdr:rowOff>39089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11962" y="88207588"/>
          <a:ext cx="2798990" cy="211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630116</xdr:colOff>
      <xdr:row>516</xdr:row>
      <xdr:rowOff>4892</xdr:rowOff>
    </xdr:from>
    <xdr:to>
      <xdr:col>20</xdr:col>
      <xdr:colOff>153867</xdr:colOff>
      <xdr:row>525</xdr:row>
      <xdr:rowOff>8112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961078" y="94873892"/>
          <a:ext cx="2967404" cy="1651778"/>
        </a:xfrm>
        <a:prstGeom prst="rect">
          <a:avLst/>
        </a:prstGeom>
      </xdr:spPr>
    </xdr:pic>
    <xdr:clientData/>
  </xdr:twoCellAnchor>
  <xdr:twoCellAnchor editAs="oneCell">
    <xdr:from>
      <xdr:col>15</xdr:col>
      <xdr:colOff>578828</xdr:colOff>
      <xdr:row>528</xdr:row>
      <xdr:rowOff>73823</xdr:rowOff>
    </xdr:from>
    <xdr:to>
      <xdr:col>19</xdr:col>
      <xdr:colOff>493206</xdr:colOff>
      <xdr:row>536</xdr:row>
      <xdr:rowOff>62662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909790" y="97148227"/>
          <a:ext cx="2669301" cy="1476204"/>
        </a:xfrm>
        <a:prstGeom prst="rect">
          <a:avLst/>
        </a:prstGeom>
      </xdr:spPr>
    </xdr:pic>
    <xdr:clientData/>
  </xdr:twoCellAnchor>
  <xdr:twoCellAnchor editAs="oneCell">
    <xdr:from>
      <xdr:col>21</xdr:col>
      <xdr:colOff>109904</xdr:colOff>
      <xdr:row>527</xdr:row>
      <xdr:rowOff>102577</xdr:rowOff>
    </xdr:from>
    <xdr:to>
      <xdr:col>25</xdr:col>
      <xdr:colOff>366347</xdr:colOff>
      <xdr:row>553</xdr:row>
      <xdr:rowOff>66771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73250" y="96986481"/>
          <a:ext cx="3011366" cy="4778413"/>
        </a:xfrm>
        <a:prstGeom prst="rect">
          <a:avLst/>
        </a:prstGeom>
      </xdr:spPr>
    </xdr:pic>
    <xdr:clientData/>
  </xdr:twoCellAnchor>
  <xdr:twoCellAnchor editAs="oneCell">
    <xdr:from>
      <xdr:col>15</xdr:col>
      <xdr:colOff>459443</xdr:colOff>
      <xdr:row>539</xdr:row>
      <xdr:rowOff>78441</xdr:rowOff>
    </xdr:from>
    <xdr:to>
      <xdr:col>21</xdr:col>
      <xdr:colOff>92726</xdr:colOff>
      <xdr:row>553</xdr:row>
      <xdr:rowOff>78441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712825" y="97222235"/>
          <a:ext cx="3734636" cy="2532529"/>
        </a:xfrm>
        <a:prstGeom prst="rect">
          <a:avLst/>
        </a:prstGeom>
      </xdr:spPr>
    </xdr:pic>
    <xdr:clientData/>
  </xdr:twoCellAnchor>
  <xdr:twoCellAnchor>
    <xdr:from>
      <xdr:col>15</xdr:col>
      <xdr:colOff>549089</xdr:colOff>
      <xdr:row>539</xdr:row>
      <xdr:rowOff>168088</xdr:rowOff>
    </xdr:from>
    <xdr:to>
      <xdr:col>17</xdr:col>
      <xdr:colOff>580758</xdr:colOff>
      <xdr:row>540</xdr:row>
      <xdr:rowOff>145677</xdr:rowOff>
    </xdr:to>
    <xdr:sp macro="" textlink="">
      <xdr:nvSpPr>
        <xdr:cNvPr id="69" name="Rectangle 68"/>
        <xdr:cNvSpPr/>
      </xdr:nvSpPr>
      <xdr:spPr>
        <a:xfrm>
          <a:off x="10802471" y="97311882"/>
          <a:ext cx="1398787" cy="156883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224118</xdr:colOff>
      <xdr:row>549</xdr:row>
      <xdr:rowOff>78441</xdr:rowOff>
    </xdr:from>
    <xdr:to>
      <xdr:col>7</xdr:col>
      <xdr:colOff>10770</xdr:colOff>
      <xdr:row>576</xdr:row>
      <xdr:rowOff>44824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07677" y="99026382"/>
          <a:ext cx="3888005" cy="4818530"/>
        </a:xfrm>
        <a:prstGeom prst="rect">
          <a:avLst/>
        </a:prstGeom>
      </xdr:spPr>
    </xdr:pic>
    <xdr:clientData/>
  </xdr:twoCellAnchor>
  <xdr:twoCellAnchor editAs="oneCell">
    <xdr:from>
      <xdr:col>15</xdr:col>
      <xdr:colOff>291354</xdr:colOff>
      <xdr:row>558</xdr:row>
      <xdr:rowOff>100665</xdr:rowOff>
    </xdr:from>
    <xdr:to>
      <xdr:col>24</xdr:col>
      <xdr:colOff>279430</xdr:colOff>
      <xdr:row>569</xdr:row>
      <xdr:rowOff>51147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44736" y="100662253"/>
          <a:ext cx="6140106" cy="192271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579</xdr:row>
      <xdr:rowOff>0</xdr:rowOff>
    </xdr:from>
    <xdr:to>
      <xdr:col>9</xdr:col>
      <xdr:colOff>215089</xdr:colOff>
      <xdr:row>587</xdr:row>
      <xdr:rowOff>144917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67118" y="104337971"/>
          <a:ext cx="5000000" cy="1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593914</xdr:colOff>
      <xdr:row>588</xdr:row>
      <xdr:rowOff>100853</xdr:rowOff>
    </xdr:from>
    <xdr:to>
      <xdr:col>9</xdr:col>
      <xdr:colOff>593913</xdr:colOff>
      <xdr:row>601</xdr:row>
      <xdr:rowOff>59344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44590" y="106052471"/>
          <a:ext cx="4101352" cy="2289315"/>
        </a:xfrm>
        <a:prstGeom prst="rect">
          <a:avLst/>
        </a:prstGeom>
      </xdr:spPr>
    </xdr:pic>
    <xdr:clientData/>
  </xdr:twoCellAnchor>
  <xdr:twoCellAnchor editAs="oneCell">
    <xdr:from>
      <xdr:col>15</xdr:col>
      <xdr:colOff>324972</xdr:colOff>
      <xdr:row>592</xdr:row>
      <xdr:rowOff>44823</xdr:rowOff>
    </xdr:from>
    <xdr:to>
      <xdr:col>22</xdr:col>
      <xdr:colOff>559108</xdr:colOff>
      <xdr:row>603</xdr:row>
      <xdr:rowOff>72588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8354" y="106736029"/>
          <a:ext cx="5019048" cy="20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437029</xdr:colOff>
      <xdr:row>590</xdr:row>
      <xdr:rowOff>134471</xdr:rowOff>
    </xdr:from>
    <xdr:to>
      <xdr:col>19</xdr:col>
      <xdr:colOff>467756</xdr:colOff>
      <xdr:row>591</xdr:row>
      <xdr:rowOff>165814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41088" y="106467089"/>
          <a:ext cx="714286" cy="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574</xdr:row>
      <xdr:rowOff>11206</xdr:rowOff>
    </xdr:from>
    <xdr:to>
      <xdr:col>21</xdr:col>
      <xdr:colOff>56030</xdr:colOff>
      <xdr:row>590</xdr:row>
      <xdr:rowOff>3240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79206" y="103452706"/>
          <a:ext cx="3731559" cy="2883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280147</xdr:colOff>
      <xdr:row>607</xdr:row>
      <xdr:rowOff>89647</xdr:rowOff>
    </xdr:from>
    <xdr:to>
      <xdr:col>20</xdr:col>
      <xdr:colOff>369795</xdr:colOff>
      <xdr:row>616</xdr:row>
      <xdr:rowOff>42071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533529" y="109470265"/>
          <a:ext cx="3507442" cy="1722954"/>
        </a:xfrm>
        <a:prstGeom prst="rect">
          <a:avLst/>
        </a:prstGeom>
      </xdr:spPr>
    </xdr:pic>
    <xdr:clientData/>
  </xdr:twoCellAnchor>
  <xdr:twoCellAnchor editAs="oneCell">
    <xdr:from>
      <xdr:col>15</xdr:col>
      <xdr:colOff>246531</xdr:colOff>
      <xdr:row>615</xdr:row>
      <xdr:rowOff>212911</xdr:rowOff>
    </xdr:from>
    <xdr:to>
      <xdr:col>21</xdr:col>
      <xdr:colOff>191505</xdr:colOff>
      <xdr:row>647</xdr:row>
      <xdr:rowOff>174999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499913" y="111128735"/>
          <a:ext cx="4046327" cy="6315824"/>
        </a:xfrm>
        <a:prstGeom prst="rect">
          <a:avLst/>
        </a:prstGeom>
      </xdr:spPr>
    </xdr:pic>
    <xdr:clientData/>
  </xdr:twoCellAnchor>
  <xdr:twoCellAnchor editAs="oneCell">
    <xdr:from>
      <xdr:col>13</xdr:col>
      <xdr:colOff>593912</xdr:colOff>
      <xdr:row>255</xdr:row>
      <xdr:rowOff>145677</xdr:rowOff>
    </xdr:from>
    <xdr:to>
      <xdr:col>19</xdr:col>
      <xdr:colOff>243592</xdr:colOff>
      <xdr:row>258</xdr:row>
      <xdr:rowOff>100853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480177" y="46179442"/>
          <a:ext cx="3751033" cy="515470"/>
        </a:xfrm>
        <a:prstGeom prst="rect">
          <a:avLst/>
        </a:prstGeom>
      </xdr:spPr>
    </xdr:pic>
    <xdr:clientData/>
  </xdr:twoCellAnchor>
  <xdr:twoCellAnchor editAs="oneCell">
    <xdr:from>
      <xdr:col>20</xdr:col>
      <xdr:colOff>179295</xdr:colOff>
      <xdr:row>255</xdr:row>
      <xdr:rowOff>179294</xdr:rowOff>
    </xdr:from>
    <xdr:to>
      <xdr:col>25</xdr:col>
      <xdr:colOff>179294</xdr:colOff>
      <xdr:row>262</xdr:row>
      <xdr:rowOff>18138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850471" y="46213059"/>
          <a:ext cx="3417794" cy="1127520"/>
        </a:xfrm>
        <a:prstGeom prst="rect">
          <a:avLst/>
        </a:prstGeom>
      </xdr:spPr>
    </xdr:pic>
    <xdr:clientData/>
  </xdr:twoCellAnchor>
  <xdr:twoCellAnchor editAs="oneCell">
    <xdr:from>
      <xdr:col>26</xdr:col>
      <xdr:colOff>100854</xdr:colOff>
      <xdr:row>500</xdr:row>
      <xdr:rowOff>78441</xdr:rowOff>
    </xdr:from>
    <xdr:to>
      <xdr:col>31</xdr:col>
      <xdr:colOff>93173</xdr:colOff>
      <xdr:row>521</xdr:row>
      <xdr:rowOff>33618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873383" y="90196147"/>
          <a:ext cx="3410114" cy="3731559"/>
        </a:xfrm>
        <a:prstGeom prst="rect">
          <a:avLst/>
        </a:prstGeom>
      </xdr:spPr>
    </xdr:pic>
    <xdr:clientData/>
  </xdr:twoCellAnchor>
  <xdr:twoCellAnchor editAs="oneCell">
    <xdr:from>
      <xdr:col>18</xdr:col>
      <xdr:colOff>73269</xdr:colOff>
      <xdr:row>34</xdr:row>
      <xdr:rowOff>14411</xdr:rowOff>
    </xdr:from>
    <xdr:to>
      <xdr:col>26</xdr:col>
      <xdr:colOff>325050</xdr:colOff>
      <xdr:row>48</xdr:row>
      <xdr:rowOff>40327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470423" y="6308238"/>
          <a:ext cx="5761627" cy="25903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8" t="s">
        <v>0</v>
      </c>
      <c r="H4" s="208"/>
      <c r="I4" s="208"/>
      <c r="J4" s="208"/>
      <c r="K4" s="208"/>
      <c r="L4" s="208"/>
      <c r="M4" s="7"/>
    </row>
    <row r="5" spans="5:13" ht="14.25" customHeight="1">
      <c r="G5" s="208"/>
      <c r="H5" s="208"/>
      <c r="I5" s="208"/>
      <c r="J5" s="208"/>
      <c r="K5" s="208"/>
      <c r="L5" s="208"/>
      <c r="M5" s="7"/>
    </row>
    <row r="6" spans="5:13" ht="14.25" customHeight="1">
      <c r="G6" s="208"/>
      <c r="H6" s="208"/>
      <c r="I6" s="208"/>
      <c r="J6" s="208"/>
      <c r="K6" s="208"/>
      <c r="L6" s="208"/>
      <c r="M6" s="7"/>
    </row>
    <row r="7" spans="5:13" ht="14.25" customHeight="1">
      <c r="G7" s="208"/>
      <c r="H7" s="208"/>
      <c r="I7" s="208"/>
      <c r="J7" s="208"/>
      <c r="K7" s="208"/>
      <c r="L7" s="208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42991</v>
      </c>
    </row>
    <row r="14" spans="5:13" ht="15">
      <c r="E14" s="4" t="s">
        <v>1</v>
      </c>
      <c r="F14" s="209" t="s">
        <v>484</v>
      </c>
      <c r="G14" s="209"/>
      <c r="H14" s="209"/>
      <c r="I14" s="209"/>
      <c r="J14" s="209"/>
      <c r="K14" s="209"/>
      <c r="L14" s="210"/>
    </row>
    <row r="15" spans="5:13" ht="15">
      <c r="E15" s="5" t="s">
        <v>2</v>
      </c>
      <c r="F15" s="204" t="s">
        <v>24</v>
      </c>
      <c r="G15" s="204"/>
      <c r="H15" s="204"/>
      <c r="I15" s="204"/>
      <c r="J15" s="204"/>
      <c r="K15" s="204"/>
      <c r="L15" s="205"/>
    </row>
    <row r="16" spans="5:13" ht="15">
      <c r="E16" s="5" t="s">
        <v>23</v>
      </c>
      <c r="F16" s="204" t="s">
        <v>25</v>
      </c>
      <c r="G16" s="204"/>
      <c r="H16" s="204"/>
      <c r="I16" s="204"/>
      <c r="J16" s="204"/>
      <c r="K16" s="204"/>
      <c r="L16" s="205"/>
    </row>
    <row r="17" spans="5:12" ht="15">
      <c r="E17" s="5" t="s">
        <v>3</v>
      </c>
      <c r="F17" s="204" t="s">
        <v>26</v>
      </c>
      <c r="G17" s="204"/>
      <c r="H17" s="204"/>
      <c r="I17" s="204"/>
      <c r="J17" s="204"/>
      <c r="K17" s="204"/>
      <c r="L17" s="205"/>
    </row>
    <row r="18" spans="5:12" ht="30">
      <c r="E18" s="5" t="s">
        <v>4</v>
      </c>
      <c r="F18" s="204"/>
      <c r="G18" s="204"/>
      <c r="H18" s="204"/>
      <c r="I18" s="204"/>
      <c r="J18" s="204"/>
      <c r="K18" s="204"/>
      <c r="L18" s="205"/>
    </row>
    <row r="19" spans="5:12" ht="15">
      <c r="E19" s="5" t="s">
        <v>5</v>
      </c>
      <c r="F19" s="204" t="s">
        <v>76</v>
      </c>
      <c r="G19" s="204"/>
      <c r="H19" s="204"/>
      <c r="I19" s="204"/>
      <c r="J19" s="204"/>
      <c r="K19" s="204"/>
      <c r="L19" s="205"/>
    </row>
    <row r="20" spans="5:12" ht="15">
      <c r="E20" s="5" t="s">
        <v>6</v>
      </c>
      <c r="F20" s="204" t="s">
        <v>25</v>
      </c>
      <c r="G20" s="204"/>
      <c r="H20" s="204"/>
      <c r="I20" s="204"/>
      <c r="J20" s="204"/>
      <c r="K20" s="204"/>
      <c r="L20" s="205"/>
    </row>
    <row r="21" spans="5:12" ht="33.75" customHeight="1" thickBot="1">
      <c r="E21" s="6" t="s">
        <v>7</v>
      </c>
      <c r="F21" s="206" t="s">
        <v>75</v>
      </c>
      <c r="G21" s="206"/>
      <c r="H21" s="206"/>
      <c r="I21" s="206"/>
      <c r="J21" s="206"/>
      <c r="K21" s="206"/>
      <c r="L21" s="207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56"/>
  <sheetViews>
    <sheetView topLeftCell="A205" zoomScale="130" zoomScaleNormal="130" workbookViewId="0">
      <selection activeCell="B125" sqref="B125"/>
    </sheetView>
  </sheetViews>
  <sheetFormatPr defaultRowHeight="14.25"/>
  <cols>
    <col min="1" max="16384" width="9" style="24"/>
  </cols>
  <sheetData>
    <row r="1" spans="1:14">
      <c r="A1" s="211" t="s">
        <v>14</v>
      </c>
      <c r="B1" s="211"/>
      <c r="C1" s="211"/>
      <c r="D1" s="211"/>
      <c r="E1" s="211"/>
      <c r="F1" s="211"/>
      <c r="G1" s="211" t="s">
        <v>30</v>
      </c>
      <c r="H1" s="211"/>
      <c r="I1" s="211"/>
      <c r="J1" s="211"/>
      <c r="K1" s="211"/>
      <c r="L1" s="211"/>
      <c r="M1" s="26"/>
      <c r="N1" s="26"/>
    </row>
    <row r="2" spans="1:14">
      <c r="A2" s="211"/>
      <c r="B2" s="211"/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6"/>
      <c r="N2" s="26"/>
    </row>
    <row r="3" spans="1:14">
      <c r="A3" s="211"/>
      <c r="B3" s="211"/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6"/>
      <c r="N3" s="26"/>
    </row>
    <row r="4" spans="1:14">
      <c r="A4" s="211"/>
      <c r="B4" s="211"/>
      <c r="C4" s="211"/>
      <c r="D4" s="211"/>
      <c r="E4" s="211"/>
      <c r="F4" s="211"/>
      <c r="G4" s="211"/>
      <c r="H4" s="211"/>
      <c r="I4" s="211"/>
      <c r="J4" s="211"/>
      <c r="K4" s="211"/>
      <c r="L4" s="211"/>
      <c r="M4" s="26"/>
      <c r="N4" s="26"/>
    </row>
    <row r="5" spans="1:14">
      <c r="A5" s="99" t="s">
        <v>118</v>
      </c>
      <c r="B5" s="99"/>
      <c r="C5" s="99"/>
    </row>
    <row r="10" spans="1:14">
      <c r="H10" s="24" t="s">
        <v>184</v>
      </c>
    </row>
    <row r="21" spans="2:2">
      <c r="B21" s="24" t="s">
        <v>475</v>
      </c>
    </row>
    <row r="38" spans="91:91">
      <c r="CM38" s="98"/>
    </row>
    <row r="56" spans="9:12">
      <c r="I56" s="215"/>
      <c r="J56" s="215"/>
      <c r="K56" s="215"/>
      <c r="L56" s="215"/>
    </row>
    <row r="102" spans="33:33">
      <c r="AG102" s="24" t="s">
        <v>84</v>
      </c>
    </row>
    <row r="156" spans="1:1">
      <c r="A156" s="24" t="s">
        <v>478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8" t="s">
        <v>9</v>
      </c>
      <c r="G1" s="208"/>
      <c r="H1" s="208"/>
      <c r="I1" s="208"/>
      <c r="J1" s="208"/>
      <c r="K1" s="208"/>
      <c r="L1" s="27"/>
      <c r="M1" s="27"/>
      <c r="N1" s="27"/>
    </row>
    <row r="2" spans="1:27">
      <c r="A2" s="27"/>
      <c r="B2" s="27"/>
      <c r="C2" s="27"/>
      <c r="D2" s="27"/>
      <c r="E2" s="27"/>
      <c r="F2" s="208"/>
      <c r="G2" s="208"/>
      <c r="H2" s="208"/>
      <c r="I2" s="208"/>
      <c r="J2" s="208"/>
      <c r="K2" s="208"/>
      <c r="L2" s="27"/>
      <c r="M2" s="27"/>
      <c r="N2" s="27"/>
    </row>
    <row r="3" spans="1:27">
      <c r="A3" s="27"/>
      <c r="B3" s="27"/>
      <c r="C3" s="27"/>
      <c r="D3" s="27"/>
      <c r="E3" s="27"/>
      <c r="F3" s="208"/>
      <c r="G3" s="208"/>
      <c r="H3" s="208"/>
      <c r="I3" s="208"/>
      <c r="J3" s="208"/>
      <c r="K3" s="208"/>
      <c r="L3" s="27"/>
      <c r="M3" s="27"/>
      <c r="N3" s="27"/>
    </row>
    <row r="4" spans="1:27">
      <c r="A4" s="27"/>
      <c r="B4" s="27"/>
      <c r="C4" s="27"/>
      <c r="D4" s="27"/>
      <c r="E4" s="27"/>
      <c r="F4" s="208"/>
      <c r="G4" s="208"/>
      <c r="H4" s="208"/>
      <c r="I4" s="208"/>
      <c r="J4" s="208"/>
      <c r="K4" s="208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194</v>
      </c>
      <c r="B7" s="127">
        <v>4160</v>
      </c>
      <c r="C7" s="51" t="s">
        <v>169</v>
      </c>
      <c r="D7" s="127" t="s">
        <v>124</v>
      </c>
      <c r="E7" s="127">
        <v>60</v>
      </c>
      <c r="F7" s="128" t="s">
        <v>169</v>
      </c>
      <c r="G7" s="129" t="s">
        <v>125</v>
      </c>
      <c r="H7" s="127">
        <v>2640000</v>
      </c>
      <c r="I7" s="130" t="s">
        <v>113</v>
      </c>
      <c r="J7" s="37" t="s">
        <v>196</v>
      </c>
      <c r="K7" s="127"/>
      <c r="L7" s="65"/>
    </row>
    <row r="8" spans="1:27">
      <c r="A8" s="145" t="s">
        <v>195</v>
      </c>
      <c r="B8" s="37">
        <v>250</v>
      </c>
      <c r="C8" s="52" t="s">
        <v>169</v>
      </c>
      <c r="D8" s="37"/>
      <c r="E8" s="37"/>
      <c r="F8" s="52"/>
      <c r="G8" s="37" t="s">
        <v>126</v>
      </c>
      <c r="H8" s="37">
        <v>6480000000</v>
      </c>
      <c r="I8" s="96" t="s">
        <v>170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171</v>
      </c>
      <c r="D9" s="37"/>
      <c r="E9" s="37"/>
      <c r="F9" s="52"/>
      <c r="G9" s="37" t="s">
        <v>127</v>
      </c>
      <c r="H9" s="37">
        <v>90000000</v>
      </c>
      <c r="I9" s="96" t="s">
        <v>170</v>
      </c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 t="s">
        <v>38</v>
      </c>
      <c r="H10" s="37">
        <v>846000</v>
      </c>
      <c r="I10" s="52" t="s">
        <v>113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3500</v>
      </c>
      <c r="C12" s="52" t="s">
        <v>169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132</v>
      </c>
      <c r="B13" s="37">
        <v>3500</v>
      </c>
      <c r="C13" s="52" t="s">
        <v>169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123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125</v>
      </c>
      <c r="B17" s="29">
        <f>H7</f>
        <v>2640000</v>
      </c>
      <c r="C17" s="96" t="s">
        <v>113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126</v>
      </c>
      <c r="B18" s="29">
        <f>H8</f>
        <v>6480000000</v>
      </c>
      <c r="C18" s="96" t="s">
        <v>170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127</v>
      </c>
      <c r="B19" s="29">
        <f>H9</f>
        <v>90000000</v>
      </c>
      <c r="C19" s="96" t="s">
        <v>170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134</v>
      </c>
      <c r="B22" s="29"/>
      <c r="C22" s="42" t="s">
        <v>137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135</v>
      </c>
      <c r="B23" s="29">
        <f>1*B12</f>
        <v>3500</v>
      </c>
      <c r="C23" s="117" t="s">
        <v>169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136</v>
      </c>
      <c r="B24" s="35">
        <f>1*B13</f>
        <v>3500</v>
      </c>
      <c r="C24" s="117" t="s">
        <v>169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139</v>
      </c>
      <c r="B26" s="35">
        <f>H8/H7</f>
        <v>2454.5454545454545</v>
      </c>
      <c r="C26" s="35" t="s">
        <v>169</v>
      </c>
      <c r="D26" s="35"/>
      <c r="E26" s="35"/>
      <c r="F26" s="35"/>
      <c r="G26" s="35"/>
      <c r="H26" s="35"/>
      <c r="I26" s="35"/>
      <c r="J26" s="117" t="s">
        <v>185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138</v>
      </c>
      <c r="B27" s="35">
        <f>H9/H7</f>
        <v>34.090909090909093</v>
      </c>
      <c r="C27" s="35" t="s">
        <v>169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174</v>
      </c>
      <c r="B29" s="35">
        <f>B12/500 +B8/30</f>
        <v>15.333333333333334</v>
      </c>
      <c r="C29" s="35" t="s">
        <v>169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140</v>
      </c>
      <c r="B30" s="35">
        <f>B13/500 +B7/30</f>
        <v>145.66666666666666</v>
      </c>
      <c r="C30" s="35" t="s">
        <v>169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142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141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198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199</v>
      </c>
      <c r="B37" s="112">
        <f>B8*B7*B7*B7/12</f>
        <v>1499818666666.6667</v>
      </c>
      <c r="C37" s="112" t="s">
        <v>200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201</v>
      </c>
      <c r="B38" s="112">
        <f>B7*B8</f>
        <v>1040000</v>
      </c>
      <c r="C38" s="112" t="s">
        <v>202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204</v>
      </c>
      <c r="B39" s="35">
        <f>B7/2</f>
        <v>2080</v>
      </c>
      <c r="C39" s="35" t="s">
        <v>169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203</v>
      </c>
      <c r="B40" s="35">
        <f>(H7/B38) +(H8*B39/B37)</f>
        <v>11.525147928994082</v>
      </c>
      <c r="C40" s="35" t="s">
        <v>207</v>
      </c>
      <c r="D40" s="29"/>
      <c r="E40" s="35">
        <f>(H7/B38) -(H8*B39/B37)</f>
        <v>-6.4482248520710055</v>
      </c>
      <c r="F40" s="35" t="s">
        <v>207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205</v>
      </c>
      <c r="B42" s="35">
        <f>0.2*B9</f>
        <v>5</v>
      </c>
      <c r="C42" s="35" t="s">
        <v>207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206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208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209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210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212</v>
      </c>
      <c r="B49" s="35">
        <f>0.0025*B8*1000</f>
        <v>625</v>
      </c>
      <c r="C49" s="112" t="s">
        <v>202</v>
      </c>
      <c r="D49" s="29" t="s">
        <v>213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211</v>
      </c>
      <c r="B50" s="35">
        <f>(0.0025+0.5*(1-1000/B8)*(0.0025-0.0025))*1000*B8</f>
        <v>625</v>
      </c>
      <c r="C50" s="112" t="s">
        <v>202</v>
      </c>
      <c r="D50" s="29" t="s">
        <v>213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214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215</v>
      </c>
      <c r="B54" s="35">
        <f>H10/(B7*B8)</f>
        <v>0.81346153846153846</v>
      </c>
      <c r="C54" s="35" t="s">
        <v>207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216</v>
      </c>
      <c r="B55" s="35">
        <v>0.36</v>
      </c>
      <c r="C55" s="35" t="s">
        <v>207</v>
      </c>
      <c r="D55" s="35"/>
      <c r="E55" s="35"/>
      <c r="F55" s="35"/>
      <c r="G55" s="35"/>
      <c r="H55" s="35"/>
      <c r="I55" s="35"/>
      <c r="J55" s="42" t="s">
        <v>187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217</v>
      </c>
      <c r="B56" s="35">
        <f>(B54-B55)*B7*B8</f>
        <v>471600</v>
      </c>
      <c r="C56" s="35" t="s">
        <v>218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171</v>
      </c>
      <c r="D57" s="29"/>
      <c r="E57" s="42"/>
      <c r="F57" s="42"/>
      <c r="G57" s="42"/>
      <c r="H57" s="42"/>
      <c r="I57" s="42"/>
      <c r="J57" s="42" t="s">
        <v>188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219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220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221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222</v>
      </c>
      <c r="B63" s="147"/>
      <c r="C63" s="147"/>
      <c r="D63" s="147"/>
      <c r="E63" s="147"/>
      <c r="F63" s="147"/>
      <c r="G63" s="147"/>
      <c r="H63" s="147"/>
      <c r="I63" s="147"/>
      <c r="J63" s="151" t="s">
        <v>230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223</v>
      </c>
      <c r="B64" s="35">
        <v>1107000</v>
      </c>
      <c r="C64" s="152" t="s">
        <v>113</v>
      </c>
      <c r="D64" s="35" t="s">
        <v>224</v>
      </c>
      <c r="E64" s="35">
        <v>20</v>
      </c>
      <c r="F64" s="35"/>
      <c r="G64" s="35" t="s">
        <v>225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227</v>
      </c>
      <c r="E65" s="35">
        <f>B10</f>
        <v>415</v>
      </c>
      <c r="F65" s="35"/>
      <c r="G65" s="35" t="s">
        <v>226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228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229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231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230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232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233</v>
      </c>
      <c r="B74" s="35">
        <f>C72*E64*H64*H65*H65</f>
        <v>2530863415.3483381</v>
      </c>
      <c r="C74" s="35" t="s">
        <v>234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113</v>
      </c>
      <c r="E80" s="60" t="s">
        <v>34</v>
      </c>
      <c r="F80" s="60">
        <f>B7</f>
        <v>4160</v>
      </c>
      <c r="G80" s="60" t="s">
        <v>169</v>
      </c>
      <c r="H80" s="60" t="s">
        <v>43</v>
      </c>
      <c r="I80" s="60">
        <f>B8</f>
        <v>250</v>
      </c>
      <c r="J80" s="60" t="s">
        <v>169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171</v>
      </c>
      <c r="E81" s="42" t="s">
        <v>30</v>
      </c>
      <c r="F81" s="42" t="s">
        <v>30</v>
      </c>
      <c r="G81" s="42"/>
      <c r="H81" s="42"/>
      <c r="I81" s="42"/>
      <c r="J81" s="42" t="s">
        <v>186</v>
      </c>
      <c r="K81" s="42"/>
      <c r="L81" s="49"/>
      <c r="M81" s="42"/>
      <c r="N81" s="42"/>
      <c r="O81" s="42"/>
    </row>
    <row r="82" spans="1:15" ht="15">
      <c r="A82" s="41" t="s">
        <v>143</v>
      </c>
      <c r="B82" s="42"/>
      <c r="C82" s="42">
        <f>3217</f>
        <v>3217</v>
      </c>
      <c r="D82" s="118" t="s">
        <v>172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128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171</v>
      </c>
      <c r="E84" s="42"/>
      <c r="F84" s="42"/>
      <c r="G84" s="42"/>
      <c r="H84" s="42"/>
      <c r="I84" s="42"/>
      <c r="J84" s="42" t="s">
        <v>187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171</v>
      </c>
      <c r="E85" s="42"/>
      <c r="F85" s="42"/>
      <c r="G85" s="42"/>
      <c r="H85" s="42"/>
      <c r="I85" s="42"/>
      <c r="J85" s="42" t="s">
        <v>188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172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172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154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144</v>
      </c>
      <c r="B98" s="112">
        <v>450</v>
      </c>
      <c r="C98" s="118" t="s">
        <v>172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146</v>
      </c>
      <c r="B99" s="42">
        <v>150</v>
      </c>
      <c r="C99" s="136" t="s">
        <v>169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145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147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187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148</v>
      </c>
      <c r="B103" s="42">
        <f>B101+B100</f>
        <v>1342659.4999999998</v>
      </c>
      <c r="C103" s="95" t="s">
        <v>113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149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150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189</v>
      </c>
      <c r="K113" s="143"/>
      <c r="L113" s="61" t="s">
        <v>166</v>
      </c>
      <c r="M113" s="42"/>
      <c r="N113" s="42"/>
      <c r="O113" s="42"/>
    </row>
    <row r="114" spans="1:15" ht="15">
      <c r="A114" s="28" t="s">
        <v>152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151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155</v>
      </c>
      <c r="B116" s="42">
        <v>400</v>
      </c>
      <c r="C116" s="42" t="s">
        <v>162</v>
      </c>
      <c r="D116" s="118">
        <v>146.13999999999999</v>
      </c>
      <c r="E116" s="95" t="s">
        <v>169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156</v>
      </c>
      <c r="B117" s="42">
        <v>348</v>
      </c>
      <c r="C117" s="136" t="s">
        <v>169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157</v>
      </c>
      <c r="B118" s="42">
        <v>1814</v>
      </c>
      <c r="C118" s="136" t="s">
        <v>172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158</v>
      </c>
      <c r="B119" s="112">
        <v>59.54</v>
      </c>
      <c r="C119" s="123" t="s">
        <v>169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159</v>
      </c>
      <c r="B120" s="112">
        <v>250</v>
      </c>
      <c r="C120" s="123" t="s">
        <v>169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161</v>
      </c>
      <c r="B121" s="112">
        <v>200000</v>
      </c>
      <c r="C121" s="136" t="s">
        <v>171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163</v>
      </c>
      <c r="B122" s="112">
        <v>224</v>
      </c>
      <c r="C122" s="136" t="s">
        <v>171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164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190</v>
      </c>
      <c r="K124" s="42"/>
      <c r="L124" s="49"/>
      <c r="M124" s="42"/>
      <c r="N124" s="42"/>
      <c r="O124" s="42"/>
    </row>
    <row r="125" spans="1:15">
      <c r="A125" s="41" t="s">
        <v>160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190</v>
      </c>
      <c r="K125" s="42"/>
      <c r="L125" s="49"/>
      <c r="M125" s="42"/>
      <c r="N125" s="42"/>
      <c r="O125" s="42"/>
    </row>
    <row r="126" spans="1:15">
      <c r="A126" s="41" t="s">
        <v>165</v>
      </c>
      <c r="B126" s="29">
        <f>3*B119*B125/(1+(2*(B119-B123)/(B116-D116)))</f>
        <v>0.20389061756027049</v>
      </c>
      <c r="C126" s="136" t="s">
        <v>169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167</v>
      </c>
      <c r="B127" s="29"/>
      <c r="C127" s="29">
        <f>B126</f>
        <v>0.20389061756027049</v>
      </c>
      <c r="D127" s="95" t="s">
        <v>169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3"/>
  <dimension ref="A1:AA133"/>
  <sheetViews>
    <sheetView topLeftCell="A73" zoomScale="145" zoomScaleNormal="145" workbookViewId="0">
      <selection activeCell="H13" sqref="H13"/>
    </sheetView>
  </sheetViews>
  <sheetFormatPr defaultRowHeight="14.25"/>
  <cols>
    <col min="2" max="2" width="12.375" bestFit="1" customWidth="1"/>
    <col min="3" max="3" width="12.25" bestFit="1" customWidth="1"/>
    <col min="4" max="4" width="11.6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8" t="s">
        <v>9</v>
      </c>
      <c r="G1" s="208"/>
      <c r="H1" s="208"/>
      <c r="I1" s="208"/>
      <c r="J1" s="208"/>
      <c r="K1" s="208"/>
      <c r="L1" s="27"/>
      <c r="M1" s="27"/>
      <c r="N1" s="27"/>
    </row>
    <row r="2" spans="1:27">
      <c r="A2" s="27"/>
      <c r="B2" s="27"/>
      <c r="C2" s="27"/>
      <c r="D2" s="27"/>
      <c r="E2" s="27"/>
      <c r="F2" s="208"/>
      <c r="G2" s="208"/>
      <c r="H2" s="208"/>
      <c r="I2" s="208"/>
      <c r="J2" s="208"/>
      <c r="K2" s="208"/>
      <c r="L2" s="27"/>
      <c r="M2" s="27"/>
      <c r="N2" s="27"/>
    </row>
    <row r="3" spans="1:27">
      <c r="A3" s="27"/>
      <c r="B3" s="27"/>
      <c r="C3" s="27"/>
      <c r="D3" s="27"/>
      <c r="E3" s="27"/>
      <c r="F3" s="208"/>
      <c r="G3" s="208"/>
      <c r="H3" s="208"/>
      <c r="I3" s="208"/>
      <c r="J3" s="208"/>
      <c r="K3" s="208"/>
      <c r="L3" s="27"/>
      <c r="M3" s="27"/>
      <c r="N3" s="27"/>
    </row>
    <row r="4" spans="1:27">
      <c r="A4" s="27"/>
      <c r="B4" s="27"/>
      <c r="C4" s="27"/>
      <c r="D4" s="27"/>
      <c r="E4" s="27"/>
      <c r="F4" s="208"/>
      <c r="G4" s="208"/>
      <c r="H4" s="208"/>
      <c r="I4" s="208"/>
      <c r="J4" s="208"/>
      <c r="K4" s="208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/>
      <c r="B7" s="127"/>
      <c r="C7" s="51"/>
      <c r="D7" s="127" t="s">
        <v>124</v>
      </c>
      <c r="E7" s="127">
        <v>15</v>
      </c>
      <c r="F7" s="128" t="s">
        <v>169</v>
      </c>
      <c r="G7" s="129" t="s">
        <v>292</v>
      </c>
      <c r="H7" s="127">
        <v>5</v>
      </c>
      <c r="I7" s="52" t="s">
        <v>295</v>
      </c>
      <c r="J7" s="37" t="s">
        <v>196</v>
      </c>
      <c r="K7" s="127"/>
      <c r="L7" s="65"/>
    </row>
    <row r="8" spans="1:27">
      <c r="A8" s="37"/>
      <c r="B8" s="37"/>
      <c r="C8" s="52"/>
      <c r="D8" s="37"/>
      <c r="E8" s="37"/>
      <c r="F8" s="52"/>
      <c r="G8" s="37" t="s">
        <v>293</v>
      </c>
      <c r="H8" s="37">
        <v>3</v>
      </c>
      <c r="I8" s="52" t="s">
        <v>295</v>
      </c>
      <c r="J8" s="37"/>
      <c r="K8" s="37"/>
      <c r="L8" s="63"/>
    </row>
    <row r="9" spans="1:27">
      <c r="A9" s="36" t="s">
        <v>35</v>
      </c>
      <c r="B9" s="37">
        <v>25</v>
      </c>
      <c r="C9" s="52" t="s">
        <v>171</v>
      </c>
      <c r="D9" s="37"/>
      <c r="E9" s="37"/>
      <c r="F9" s="52"/>
      <c r="G9" s="37"/>
      <c r="H9" s="37"/>
      <c r="I9" s="52"/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/>
      <c r="H10" s="37"/>
      <c r="I10" s="52"/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4000</v>
      </c>
      <c r="C12" s="52" t="s">
        <v>169</v>
      </c>
      <c r="D12" s="37"/>
      <c r="E12" s="37"/>
      <c r="F12" s="52"/>
      <c r="G12" s="37" t="s">
        <v>127</v>
      </c>
      <c r="H12" s="37">
        <v>90000000</v>
      </c>
      <c r="I12" s="96" t="s">
        <v>170</v>
      </c>
      <c r="J12" s="37"/>
      <c r="K12" s="37"/>
      <c r="L12" s="63"/>
    </row>
    <row r="13" spans="1:27">
      <c r="A13" s="36"/>
      <c r="B13" s="37"/>
      <c r="C13" s="52"/>
      <c r="D13" s="37"/>
      <c r="E13" s="37"/>
      <c r="F13" s="52"/>
      <c r="G13" s="37" t="s">
        <v>38</v>
      </c>
      <c r="H13" s="37">
        <v>846000</v>
      </c>
      <c r="I13" s="52" t="s">
        <v>113</v>
      </c>
      <c r="J13" s="37"/>
      <c r="K13" s="37"/>
      <c r="L13" s="63"/>
    </row>
    <row r="14" spans="1:27">
      <c r="A14" s="145" t="s">
        <v>298</v>
      </c>
      <c r="B14" s="37">
        <v>160</v>
      </c>
      <c r="C14" s="52" t="s">
        <v>169</v>
      </c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291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28" t="s">
        <v>299</v>
      </c>
      <c r="B17" s="29">
        <f>B12/26</f>
        <v>153.84615384615384</v>
      </c>
      <c r="C17" s="96" t="s">
        <v>169</v>
      </c>
      <c r="E17" s="35"/>
      <c r="F17" s="117"/>
      <c r="G17" s="29"/>
      <c r="H17" s="29"/>
      <c r="I17" s="29"/>
      <c r="J17" s="117" t="s">
        <v>300</v>
      </c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156</v>
      </c>
      <c r="B18" s="29">
        <v>160</v>
      </c>
      <c r="C18" s="35" t="s">
        <v>169</v>
      </c>
      <c r="D18" s="29" t="s">
        <v>301</v>
      </c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150" t="s">
        <v>294</v>
      </c>
      <c r="B19" s="29">
        <f>E7</f>
        <v>15</v>
      </c>
      <c r="C19" s="96" t="s">
        <v>169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C20" s="96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>
      <c r="A21" s="47"/>
      <c r="B21" s="35"/>
      <c r="C21" s="35"/>
      <c r="D21" s="35"/>
      <c r="E21" s="35"/>
      <c r="F21" s="35"/>
      <c r="G21" s="35"/>
      <c r="H21" s="35"/>
      <c r="I21" s="35"/>
      <c r="J21" s="117"/>
      <c r="K21" s="35"/>
      <c r="L21" s="48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112"/>
      <c r="X21" s="112"/>
      <c r="Y21" s="112"/>
      <c r="Z21" s="112"/>
      <c r="AA21" s="112"/>
    </row>
    <row r="22" spans="1:27">
      <c r="A22" s="166" t="s">
        <v>302</v>
      </c>
      <c r="B22" s="167"/>
      <c r="C22" s="168"/>
      <c r="D22" s="167"/>
      <c r="E22" s="167"/>
      <c r="F22" s="167"/>
      <c r="G22" s="167"/>
      <c r="H22" s="167"/>
      <c r="I22" s="167"/>
      <c r="J22" s="169"/>
      <c r="K22" s="167"/>
      <c r="L22" s="170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>
      <c r="A23" s="47" t="s">
        <v>296</v>
      </c>
      <c r="C23" s="29">
        <f>H8/H7</f>
        <v>0.6</v>
      </c>
      <c r="D23" s="47" t="s">
        <v>303</v>
      </c>
      <c r="E23" s="35"/>
      <c r="F23" s="35"/>
      <c r="G23" s="35"/>
      <c r="H23" s="35"/>
      <c r="I23" s="35"/>
      <c r="J23" s="117" t="s">
        <v>304</v>
      </c>
      <c r="K23" s="35"/>
      <c r="L23" s="48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C24" s="35"/>
      <c r="D24" s="35"/>
      <c r="E24" s="35"/>
      <c r="F24" s="35"/>
      <c r="G24" s="35"/>
      <c r="H24" s="35"/>
      <c r="I24" s="35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112"/>
      <c r="Z24" s="112"/>
      <c r="AA24" s="112"/>
    </row>
    <row r="25" spans="1:27">
      <c r="A25" s="28"/>
      <c r="B25" s="35"/>
      <c r="C25" s="35"/>
      <c r="E25" s="35"/>
      <c r="F25" s="35"/>
      <c r="G25" s="35"/>
      <c r="H25" s="35"/>
      <c r="I25" s="35"/>
      <c r="J25" s="3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112"/>
      <c r="Z25" s="112"/>
      <c r="AA25" s="112"/>
    </row>
    <row r="26" spans="1:27" ht="15">
      <c r="A26" s="47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48"/>
      <c r="N26" s="35"/>
      <c r="O26" s="35"/>
      <c r="P26" s="121"/>
      <c r="Q26" s="35"/>
      <c r="R26" s="35"/>
      <c r="S26" s="35"/>
      <c r="T26" s="35"/>
      <c r="U26" s="35"/>
      <c r="V26" s="35"/>
      <c r="W26" s="35"/>
      <c r="X26" s="35"/>
      <c r="Y26" s="112"/>
      <c r="Z26" s="112"/>
      <c r="AA26" s="112"/>
    </row>
    <row r="27" spans="1:27">
      <c r="A27" s="111" t="s">
        <v>305</v>
      </c>
      <c r="B27" s="112"/>
      <c r="C27" s="35">
        <f>1.5*(H7+H8)</f>
        <v>12</v>
      </c>
      <c r="D27" t="s">
        <v>295</v>
      </c>
      <c r="E27" s="112"/>
      <c r="F27" s="112"/>
      <c r="G27" s="112"/>
      <c r="H27" s="112"/>
      <c r="I27" s="112"/>
      <c r="J27" s="112"/>
      <c r="K27" s="112"/>
      <c r="L27" s="113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11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12"/>
      <c r="Y28" s="112"/>
      <c r="Z28" s="112"/>
    </row>
    <row r="29" spans="1:27">
      <c r="A29" s="47" t="s">
        <v>306</v>
      </c>
      <c r="B29" s="35"/>
      <c r="C29" s="35">
        <f>C27*B12/1000</f>
        <v>48</v>
      </c>
      <c r="D29" t="s">
        <v>309</v>
      </c>
      <c r="E29" s="35"/>
      <c r="F29" s="35"/>
      <c r="G29" s="35"/>
      <c r="H29" s="35"/>
      <c r="I29" s="35"/>
      <c r="J29" s="35"/>
      <c r="K29" s="35"/>
      <c r="L29" s="48"/>
      <c r="M29" s="112"/>
      <c r="N29" s="112"/>
      <c r="O29" s="112"/>
      <c r="P29" s="112"/>
      <c r="Q29" s="112"/>
      <c r="R29" s="112"/>
      <c r="S29" s="112"/>
      <c r="T29" s="112"/>
      <c r="U29" s="112"/>
      <c r="V29" s="112"/>
      <c r="W29" s="112"/>
      <c r="X29" s="112"/>
      <c r="Y29" s="112"/>
      <c r="Z29" s="112"/>
      <c r="AA29" s="112"/>
    </row>
    <row r="30" spans="1:27">
      <c r="A30" s="171"/>
      <c r="B30" s="172"/>
      <c r="C30" s="172"/>
      <c r="D30" s="172"/>
      <c r="E30" s="172"/>
      <c r="F30" s="172"/>
      <c r="G30" s="172"/>
      <c r="H30" s="172"/>
      <c r="I30" s="172"/>
      <c r="J30" s="172"/>
      <c r="K30" s="172"/>
      <c r="L30" s="173"/>
      <c r="M30" s="112"/>
      <c r="N30" s="112"/>
      <c r="O30" s="112"/>
      <c r="P30" s="112"/>
      <c r="Q30" s="112"/>
      <c r="R30" s="112"/>
      <c r="S30" s="112"/>
      <c r="T30" s="112"/>
      <c r="U30" s="112"/>
      <c r="V30" s="112"/>
      <c r="W30" s="112"/>
      <c r="X30" s="112"/>
      <c r="Y30" s="112"/>
      <c r="Z30" s="112"/>
      <c r="AA30" s="112"/>
    </row>
    <row r="31" spans="1:27">
      <c r="A31" s="111" t="s">
        <v>310</v>
      </c>
      <c r="B31" s="112"/>
      <c r="C31" s="112"/>
      <c r="D31" s="112"/>
      <c r="E31" s="112"/>
      <c r="F31" s="112"/>
      <c r="G31" s="112"/>
      <c r="H31" s="112"/>
      <c r="I31" s="112"/>
      <c r="J31" s="117" t="s">
        <v>311</v>
      </c>
      <c r="K31" s="112"/>
      <c r="L31" s="113"/>
      <c r="M31" s="112"/>
      <c r="N31" s="112"/>
      <c r="O31" s="112"/>
      <c r="P31" s="112"/>
      <c r="Q31" s="112"/>
      <c r="R31" s="112"/>
      <c r="S31" s="112"/>
      <c r="T31" s="112"/>
      <c r="U31" s="112"/>
      <c r="V31" s="112"/>
      <c r="W31" s="112"/>
      <c r="X31" s="112"/>
      <c r="Y31" s="112"/>
      <c r="Z31" s="112"/>
      <c r="AA31" s="112"/>
    </row>
    <row r="32" spans="1:27">
      <c r="A32" s="111" t="s">
        <v>307</v>
      </c>
      <c r="B32" s="112"/>
      <c r="C32" s="112">
        <f>C29*B12/(12*1000)</f>
        <v>16</v>
      </c>
      <c r="D32" t="s">
        <v>234</v>
      </c>
      <c r="E32" s="112"/>
      <c r="F32" s="112"/>
      <c r="G32" s="112"/>
      <c r="H32" s="112"/>
      <c r="I32" s="112"/>
      <c r="J32" s="112"/>
      <c r="K32" s="112"/>
      <c r="L32" s="113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11" t="s">
        <v>308</v>
      </c>
      <c r="B33" s="112"/>
      <c r="C33" s="112">
        <f>C29*B12/(16*1000)</f>
        <v>12</v>
      </c>
      <c r="D33" t="s">
        <v>234</v>
      </c>
      <c r="E33" s="112"/>
      <c r="F33" s="112"/>
      <c r="G33" s="112"/>
      <c r="H33" s="112"/>
      <c r="I33" s="112"/>
      <c r="J33" s="112"/>
      <c r="K33" s="112"/>
      <c r="L33" s="113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47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47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47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67" t="s">
        <v>120</v>
      </c>
      <c r="B37" s="167"/>
      <c r="C37" s="167"/>
      <c r="D37" s="167"/>
      <c r="E37" s="167"/>
      <c r="F37" s="167"/>
      <c r="G37" s="167"/>
      <c r="H37" s="167"/>
      <c r="I37" s="167"/>
      <c r="J37" s="167"/>
      <c r="K37" s="167"/>
      <c r="L37" s="170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312</v>
      </c>
      <c r="C38" s="112">
        <f>C29/2</f>
        <v>24</v>
      </c>
      <c r="D38" t="s">
        <v>218</v>
      </c>
      <c r="E38" s="35"/>
      <c r="F38" s="35"/>
      <c r="G38" s="35"/>
      <c r="H38" s="35"/>
      <c r="I38" s="35"/>
      <c r="J38" s="35"/>
      <c r="K38" s="35"/>
      <c r="L38" s="48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316</v>
      </c>
      <c r="B39" s="35"/>
      <c r="C39" s="35">
        <f>C38*1000/(1000*B14)</f>
        <v>0.15</v>
      </c>
      <c r="D39" t="s">
        <v>171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313</v>
      </c>
      <c r="C40" s="35">
        <v>0.28999999999999998</v>
      </c>
      <c r="D40" t="s">
        <v>171</v>
      </c>
      <c r="E40" s="35"/>
      <c r="F40" s="35" t="s">
        <v>315</v>
      </c>
      <c r="G40" s="35"/>
      <c r="H40" s="35"/>
      <c r="I40" s="35"/>
      <c r="J40" s="117" t="s">
        <v>314</v>
      </c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71" t="s">
        <v>318</v>
      </c>
      <c r="B41" s="35"/>
      <c r="C41" s="35">
        <f>3.1/2</f>
        <v>1.55</v>
      </c>
      <c r="D41" t="s">
        <v>171</v>
      </c>
      <c r="E41" s="172"/>
      <c r="F41" s="172"/>
      <c r="G41" s="172"/>
      <c r="H41" s="172"/>
      <c r="I41" s="172"/>
      <c r="J41" s="172"/>
      <c r="K41" s="172"/>
      <c r="L41" s="173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47"/>
      <c r="B42" s="35"/>
      <c r="C42" s="35"/>
      <c r="D42" s="35" t="s">
        <v>317</v>
      </c>
      <c r="E42" s="35"/>
      <c r="F42" s="35"/>
      <c r="G42" s="35"/>
      <c r="H42" s="35"/>
      <c r="I42" s="35"/>
      <c r="J42" s="117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4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 ht="15">
      <c r="E44" s="142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67" t="s">
        <v>208</v>
      </c>
      <c r="B46" s="167"/>
      <c r="C46" s="167"/>
      <c r="D46" s="167"/>
      <c r="E46" s="167"/>
      <c r="F46" s="167"/>
      <c r="G46" s="167"/>
      <c r="H46" s="167"/>
      <c r="I46" s="167"/>
      <c r="J46" s="167"/>
      <c r="K46" s="167"/>
      <c r="L46" s="170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71" t="s">
        <v>322</v>
      </c>
      <c r="B47" s="172"/>
      <c r="C47" s="172"/>
      <c r="D47" s="172"/>
      <c r="E47" s="172"/>
      <c r="F47" s="172"/>
      <c r="G47" s="172"/>
      <c r="H47" s="172"/>
      <c r="I47" s="172"/>
      <c r="J47" s="172"/>
      <c r="K47" s="172"/>
      <c r="L47" s="173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319</v>
      </c>
      <c r="B48" s="35"/>
      <c r="C48" s="112">
        <f>1.2-(1.44-6.6*C32*1000000/(B9*1000*B14*B14))^0.5</f>
        <v>7.0841020936378563E-2</v>
      </c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47" t="s">
        <v>320</v>
      </c>
      <c r="B49" s="35"/>
      <c r="C49" s="112">
        <f>(B14-15-6)*(1-0.416*C48)</f>
        <v>134.90368880537486</v>
      </c>
      <c r="D49" s="35" t="s">
        <v>169</v>
      </c>
      <c r="E49" s="35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321</v>
      </c>
      <c r="B50" s="35"/>
      <c r="C50" s="35">
        <f xml:space="preserve"> (C32)*1000000/(0.87*B10*C49)</f>
        <v>328.49503370973724</v>
      </c>
      <c r="D50" s="35" t="s">
        <v>172</v>
      </c>
      <c r="E50" s="35"/>
      <c r="F50" s="35" t="s">
        <v>323</v>
      </c>
      <c r="G50" s="35"/>
      <c r="H50" s="35"/>
      <c r="I50" s="35"/>
      <c r="J50" s="112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 t="s">
        <v>325</v>
      </c>
      <c r="B51" s="35"/>
      <c r="C51" s="35">
        <f>0.12*B14*1000/100</f>
        <v>192</v>
      </c>
      <c r="D51" s="35" t="s">
        <v>172</v>
      </c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47" t="s">
        <v>327</v>
      </c>
      <c r="B52" s="112"/>
      <c r="C52">
        <v>10</v>
      </c>
      <c r="D52" s="35" t="s">
        <v>169</v>
      </c>
      <c r="E52" s="112"/>
      <c r="F52" s="112"/>
      <c r="G52" s="112"/>
      <c r="H52" s="112"/>
      <c r="I52" s="112"/>
      <c r="J52" s="112"/>
      <c r="K52" s="112"/>
      <c r="L52" s="113"/>
      <c r="M52" s="35"/>
      <c r="N52" s="35"/>
      <c r="O52" s="35"/>
      <c r="P52" s="35"/>
      <c r="Q52" s="35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326</v>
      </c>
      <c r="C53">
        <f>1000/(C50/(3.14*C52*C52/4))</f>
        <v>238.96860513685479</v>
      </c>
      <c r="D53" s="35" t="s">
        <v>169</v>
      </c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11" t="s">
        <v>324</v>
      </c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319</v>
      </c>
      <c r="B56" s="35"/>
      <c r="C56" s="112">
        <f>1.2-(1.44-6.6*C33*1000000/(B9*1000*B14*B14))^0.5</f>
        <v>5.2720609441623489E-2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 t="s">
        <v>320</v>
      </c>
      <c r="B57" s="35"/>
      <c r="C57" s="112">
        <f>(B14-15-6)*(1-0.416*C56)</f>
        <v>135.95148347964758</v>
      </c>
      <c r="D57" s="35" t="s">
        <v>169</v>
      </c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321</v>
      </c>
      <c r="B58" s="35"/>
      <c r="C58" s="35">
        <f xml:space="preserve"> (C32)*1000000/(0.87*B10*C57)</f>
        <v>325.96328239642679</v>
      </c>
      <c r="D58" s="35" t="s">
        <v>172</v>
      </c>
      <c r="E58" s="35"/>
      <c r="F58" s="35" t="s">
        <v>323</v>
      </c>
      <c r="G58" s="35"/>
      <c r="H58" s="35"/>
      <c r="I58" s="172"/>
      <c r="J58" s="174"/>
      <c r="K58" s="172"/>
      <c r="L58" s="173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325</v>
      </c>
      <c r="B59" s="35"/>
      <c r="C59" s="35">
        <f>0.12*B14*1000/100</f>
        <v>192</v>
      </c>
      <c r="D59" s="35" t="s">
        <v>172</v>
      </c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 t="s">
        <v>327</v>
      </c>
      <c r="B60" s="112"/>
      <c r="C60">
        <v>10</v>
      </c>
      <c r="D60" s="35" t="s">
        <v>169</v>
      </c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47" t="s">
        <v>326</v>
      </c>
      <c r="C61">
        <f>1000/(C58/(3.14*C60*C60/4))</f>
        <v>240.82467026004068</v>
      </c>
      <c r="D61" s="35" t="s">
        <v>169</v>
      </c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5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47"/>
      <c r="B63" s="35"/>
      <c r="C63" s="152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47"/>
      <c r="B64" s="35"/>
      <c r="C64" s="152"/>
      <c r="D64" s="35"/>
      <c r="E64" s="35"/>
      <c r="F64" s="35"/>
      <c r="G64" s="35"/>
      <c r="H64" s="35"/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47" t="s">
        <v>328</v>
      </c>
      <c r="B65" s="35"/>
      <c r="C65" s="152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47"/>
      <c r="B66" s="35"/>
      <c r="C66" s="152"/>
      <c r="D66" s="35"/>
      <c r="E66" s="35"/>
      <c r="F66" s="35"/>
      <c r="G66" s="35"/>
      <c r="H66" s="35"/>
      <c r="I66" s="2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150" t="s">
        <v>334</v>
      </c>
      <c r="B67" s="35"/>
      <c r="C67" s="152">
        <f>0.0012* 1000*B14</f>
        <v>192</v>
      </c>
      <c r="D67" s="35" t="s">
        <v>172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47" t="s">
        <v>329</v>
      </c>
      <c r="B68" s="35"/>
      <c r="C68" s="35">
        <f>3*B14</f>
        <v>480</v>
      </c>
      <c r="D68" s="175" t="s">
        <v>330</v>
      </c>
      <c r="E68" s="35">
        <f>300</f>
        <v>300</v>
      </c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47" t="s">
        <v>331</v>
      </c>
      <c r="B69" s="177" t="s">
        <v>332</v>
      </c>
      <c r="C69" s="35">
        <f>B14/8</f>
        <v>20</v>
      </c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47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47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47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 ht="15" thickBot="1">
      <c r="A73" s="114"/>
      <c r="B73" s="115"/>
      <c r="C73" s="115"/>
      <c r="D73" s="115"/>
      <c r="E73" s="115"/>
      <c r="F73" s="115"/>
      <c r="G73" s="115"/>
      <c r="H73" s="115"/>
      <c r="I73" s="115"/>
      <c r="J73" s="115"/>
      <c r="K73" s="115"/>
      <c r="L73" s="116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 ht="15.75" thickBot="1">
      <c r="A74" s="176" t="s">
        <v>333</v>
      </c>
      <c r="B74" s="57"/>
      <c r="C74" s="57"/>
      <c r="D74" s="57"/>
      <c r="E74" s="57"/>
      <c r="F74" s="57"/>
      <c r="G74" s="57"/>
      <c r="H74" s="57"/>
      <c r="I74" s="57"/>
      <c r="J74" s="43" t="s">
        <v>32</v>
      </c>
      <c r="K74" s="57"/>
      <c r="L74" s="58"/>
      <c r="M74" s="112"/>
      <c r="N74" s="112"/>
      <c r="O74" s="112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  <c r="AA74" s="35"/>
    </row>
    <row r="75" spans="1:27" ht="15" thickBot="1">
      <c r="A75" s="32" t="s">
        <v>33</v>
      </c>
      <c r="B75" s="38" t="s">
        <v>168</v>
      </c>
      <c r="C75" s="33"/>
      <c r="D75" s="33"/>
      <c r="E75" s="33"/>
      <c r="F75" s="33"/>
      <c r="G75" s="33"/>
      <c r="H75" s="33"/>
      <c r="I75" s="33"/>
      <c r="J75" s="33"/>
      <c r="K75" s="33"/>
      <c r="L75" s="34"/>
      <c r="M75" s="112"/>
      <c r="N75" s="112"/>
      <c r="O75" s="112"/>
    </row>
    <row r="76" spans="1:27">
      <c r="A76" s="126"/>
      <c r="B76" s="127"/>
      <c r="C76" s="51"/>
      <c r="D76" s="127" t="s">
        <v>124</v>
      </c>
      <c r="E76" s="127">
        <v>15</v>
      </c>
      <c r="F76" s="128" t="s">
        <v>169</v>
      </c>
      <c r="G76" s="129" t="s">
        <v>292</v>
      </c>
      <c r="H76" s="127">
        <v>4.5</v>
      </c>
      <c r="I76" s="52" t="s">
        <v>295</v>
      </c>
      <c r="J76" s="37" t="s">
        <v>196</v>
      </c>
      <c r="K76" s="127"/>
      <c r="L76" s="65"/>
      <c r="M76" s="42"/>
      <c r="N76" s="42"/>
      <c r="O76" s="42"/>
    </row>
    <row r="77" spans="1:27">
      <c r="A77" s="37"/>
      <c r="B77" s="37"/>
      <c r="C77" s="52"/>
      <c r="D77" s="37"/>
      <c r="E77" s="37"/>
      <c r="F77" s="52"/>
      <c r="G77" s="37" t="s">
        <v>293</v>
      </c>
      <c r="H77" s="37">
        <v>4</v>
      </c>
      <c r="I77" s="52" t="s">
        <v>295</v>
      </c>
      <c r="J77" s="37"/>
      <c r="K77" s="37"/>
      <c r="L77" s="63"/>
      <c r="M77" s="42"/>
      <c r="N77" s="42"/>
      <c r="O77" s="42"/>
    </row>
    <row r="78" spans="1:27">
      <c r="A78" s="36" t="s">
        <v>35</v>
      </c>
      <c r="B78" s="37">
        <v>20</v>
      </c>
      <c r="C78" s="52" t="s">
        <v>171</v>
      </c>
      <c r="D78" s="37"/>
      <c r="E78" s="37"/>
      <c r="F78" s="52"/>
      <c r="G78" s="37"/>
      <c r="H78" s="37"/>
      <c r="I78" s="52"/>
      <c r="J78" s="146" t="s">
        <v>197</v>
      </c>
      <c r="K78" s="37"/>
      <c r="L78" s="63"/>
      <c r="M78" s="42"/>
      <c r="N78" s="42"/>
      <c r="O78" s="42"/>
    </row>
    <row r="79" spans="1:27" ht="15">
      <c r="A79" s="36" t="s">
        <v>36</v>
      </c>
      <c r="B79" s="37">
        <v>415</v>
      </c>
      <c r="C79" s="131" t="s">
        <v>171</v>
      </c>
      <c r="D79" s="37"/>
      <c r="E79" s="37"/>
      <c r="F79" s="52"/>
      <c r="G79" s="37"/>
      <c r="H79" s="37"/>
      <c r="I79" s="52"/>
      <c r="J79" s="37"/>
      <c r="K79" s="37"/>
      <c r="L79" s="63"/>
      <c r="M79" s="42"/>
      <c r="N79" s="42"/>
      <c r="O79" s="42"/>
    </row>
    <row r="80" spans="1:27">
      <c r="A80" s="36"/>
      <c r="B80" s="37"/>
      <c r="C80" s="52"/>
      <c r="D80" s="37"/>
      <c r="E80" s="37"/>
      <c r="F80" s="52"/>
      <c r="G80" s="37"/>
      <c r="H80" s="37"/>
      <c r="I80" s="52"/>
      <c r="J80" s="37"/>
      <c r="K80" s="37"/>
      <c r="L80" s="63"/>
      <c r="M80" s="42"/>
      <c r="N80" s="42"/>
      <c r="O80" s="42"/>
    </row>
    <row r="81" spans="1:15">
      <c r="A81" s="36" t="s">
        <v>131</v>
      </c>
      <c r="B81" s="37">
        <v>5000</v>
      </c>
      <c r="C81" s="52" t="s">
        <v>169</v>
      </c>
      <c r="D81" s="37"/>
      <c r="E81" s="37"/>
      <c r="F81" s="52"/>
      <c r="G81" s="37" t="s">
        <v>127</v>
      </c>
      <c r="H81" s="37">
        <v>90000000</v>
      </c>
      <c r="I81" s="96" t="s">
        <v>170</v>
      </c>
      <c r="J81" s="37"/>
      <c r="K81" s="37"/>
      <c r="L81" s="63"/>
      <c r="M81" s="42"/>
      <c r="N81" s="42"/>
      <c r="O81" s="42"/>
    </row>
    <row r="82" spans="1:15">
      <c r="A82" s="36" t="s">
        <v>132</v>
      </c>
      <c r="B82" s="37">
        <v>8750</v>
      </c>
      <c r="C82" s="52" t="s">
        <v>169</v>
      </c>
      <c r="D82" s="37"/>
      <c r="E82" s="37"/>
      <c r="F82" s="52"/>
      <c r="G82" s="37" t="s">
        <v>38</v>
      </c>
      <c r="H82" s="37">
        <v>846000</v>
      </c>
      <c r="I82" s="52" t="s">
        <v>113</v>
      </c>
      <c r="J82" s="37"/>
      <c r="K82" s="37"/>
      <c r="L82" s="63"/>
      <c r="M82" s="42"/>
      <c r="N82" s="42"/>
      <c r="O82" s="42"/>
    </row>
    <row r="83" spans="1:15">
      <c r="A83" s="145" t="s">
        <v>298</v>
      </c>
      <c r="B83" s="37">
        <v>180</v>
      </c>
      <c r="C83" s="52" t="s">
        <v>169</v>
      </c>
      <c r="D83" s="37"/>
      <c r="E83" s="37"/>
      <c r="F83" s="52"/>
      <c r="G83" s="37"/>
      <c r="H83" s="37"/>
      <c r="I83" s="52"/>
      <c r="J83" s="37"/>
      <c r="K83" s="37"/>
      <c r="L83" s="63"/>
      <c r="M83" s="42"/>
      <c r="N83" s="42"/>
      <c r="O83" s="42"/>
    </row>
    <row r="84" spans="1:15" ht="15" thickBot="1">
      <c r="A84" s="132" t="s">
        <v>366</v>
      </c>
      <c r="B84" s="133">
        <f>B83-15-12</f>
        <v>153</v>
      </c>
      <c r="C84" s="53" t="s">
        <v>169</v>
      </c>
      <c r="D84" s="133"/>
      <c r="E84" s="133"/>
      <c r="F84" s="53"/>
      <c r="G84" s="133"/>
      <c r="H84" s="133"/>
      <c r="I84" s="53"/>
      <c r="J84" s="133"/>
      <c r="K84" s="133"/>
      <c r="L84" s="64"/>
      <c r="M84" s="42"/>
      <c r="N84" s="42"/>
      <c r="O84" s="42"/>
    </row>
    <row r="85" spans="1:15" ht="15">
      <c r="A85" s="41" t="s">
        <v>367</v>
      </c>
      <c r="B85" s="42"/>
      <c r="C85" s="42">
        <f>B81/(40*0.8)</f>
        <v>156.25</v>
      </c>
      <c r="D85" s="118" t="s">
        <v>169</v>
      </c>
      <c r="E85" s="42"/>
      <c r="F85" s="42"/>
      <c r="G85" s="42"/>
      <c r="H85" s="42"/>
      <c r="I85" s="42"/>
      <c r="J85" s="117" t="s">
        <v>376</v>
      </c>
      <c r="K85" s="42"/>
      <c r="L85" s="49"/>
      <c r="M85" s="42"/>
      <c r="N85" s="42"/>
      <c r="O85" s="42"/>
    </row>
    <row r="86" spans="1:15" ht="15">
      <c r="A86" s="41" t="s">
        <v>368</v>
      </c>
      <c r="B86" s="42"/>
      <c r="C86" s="42">
        <f>B84</f>
        <v>153</v>
      </c>
      <c r="D86" s="118" t="s">
        <v>169</v>
      </c>
      <c r="E86" s="42"/>
      <c r="F86" s="42"/>
      <c r="G86" s="42"/>
      <c r="H86" s="42"/>
      <c r="I86" s="42"/>
      <c r="J86" s="117"/>
      <c r="K86" s="42"/>
      <c r="L86" s="49"/>
      <c r="M86" s="42"/>
      <c r="N86" s="42"/>
      <c r="O86" s="42"/>
    </row>
    <row r="87" spans="1:15" ht="15">
      <c r="A87" s="41" t="s">
        <v>156</v>
      </c>
      <c r="B87" s="42"/>
      <c r="C87" s="42">
        <f>B83</f>
        <v>180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112"/>
      <c r="N87" s="112"/>
      <c r="O87" s="112"/>
    </row>
    <row r="88" spans="1:15" ht="15">
      <c r="A88" s="41"/>
      <c r="B88" s="42"/>
      <c r="C88" s="42"/>
      <c r="D88" s="118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 ht="15">
      <c r="A89" s="41"/>
      <c r="B89" s="42"/>
      <c r="C89" s="42"/>
      <c r="D89" s="118"/>
      <c r="E89" s="42"/>
      <c r="F89" s="42"/>
      <c r="G89" s="42"/>
      <c r="H89" s="42"/>
      <c r="I89" s="42"/>
      <c r="J89" s="42"/>
      <c r="K89" s="42"/>
      <c r="L89" s="49"/>
      <c r="M89" s="42"/>
      <c r="N89" s="42"/>
      <c r="O89" s="42"/>
    </row>
    <row r="90" spans="1:15" ht="15">
      <c r="A90" s="41" t="s">
        <v>369</v>
      </c>
      <c r="B90" s="42"/>
      <c r="C90" s="42">
        <f>B82/B81</f>
        <v>1.75</v>
      </c>
      <c r="D90" s="118"/>
      <c r="E90" s="42" t="s">
        <v>370</v>
      </c>
      <c r="F90" s="42"/>
      <c r="G90" s="42"/>
      <c r="H90" s="42"/>
      <c r="I90" s="42"/>
      <c r="J90" s="117" t="s">
        <v>336</v>
      </c>
      <c r="K90" s="42"/>
      <c r="L90" s="49"/>
      <c r="M90" s="42"/>
      <c r="N90" s="42"/>
      <c r="O90" s="42"/>
    </row>
    <row r="91" spans="1:15">
      <c r="A91" s="41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9"/>
      <c r="M91" s="42"/>
      <c r="N91" s="42"/>
      <c r="O91" s="42"/>
    </row>
    <row r="92" spans="1:15">
      <c r="A92" s="41" t="s">
        <v>371</v>
      </c>
      <c r="B92" s="42"/>
      <c r="C92" s="42">
        <f>1.5*(H76+H77)</f>
        <v>12.75</v>
      </c>
      <c r="D92" s="42" t="s">
        <v>295</v>
      </c>
      <c r="E92" s="42"/>
      <c r="F92" s="42"/>
      <c r="G92" s="42"/>
      <c r="H92" s="42"/>
      <c r="I92" s="42"/>
      <c r="J92" s="42"/>
      <c r="K92" s="42"/>
      <c r="L92" s="49"/>
      <c r="M92" s="42"/>
      <c r="N92" s="42"/>
      <c r="O92" s="42"/>
    </row>
    <row r="93" spans="1:15" ht="15">
      <c r="A93" s="111" t="s">
        <v>372</v>
      </c>
      <c r="B93" s="112"/>
      <c r="C93" s="118">
        <f>C92</f>
        <v>12.75</v>
      </c>
      <c r="D93" s="42" t="s">
        <v>373</v>
      </c>
      <c r="E93" s="112"/>
      <c r="F93" s="112"/>
      <c r="G93" s="112"/>
      <c r="H93" s="112"/>
      <c r="I93" s="112"/>
      <c r="J93" s="112"/>
      <c r="K93" s="112"/>
      <c r="L93" s="113"/>
      <c r="M93" s="42"/>
      <c r="N93" s="42"/>
      <c r="O93" s="42"/>
    </row>
    <row r="94" spans="1:15">
      <c r="A94" s="41"/>
      <c r="B94" s="42"/>
      <c r="C94" s="136"/>
      <c r="D94" s="42"/>
      <c r="E94" s="42"/>
      <c r="F94" s="42"/>
      <c r="G94" s="42"/>
      <c r="H94" s="42"/>
      <c r="I94" s="42"/>
      <c r="J94" s="42"/>
      <c r="K94" s="42"/>
      <c r="L94" s="49"/>
      <c r="M94" s="42"/>
      <c r="N94" s="42"/>
      <c r="O94" s="42"/>
    </row>
    <row r="95" spans="1:15">
      <c r="A95" s="41" t="s">
        <v>120</v>
      </c>
      <c r="B95" s="42"/>
      <c r="C95" s="42">
        <f>0.57*C93*B81</f>
        <v>36337.499999999993</v>
      </c>
      <c r="D95" s="42" t="s">
        <v>113</v>
      </c>
      <c r="E95" s="42"/>
      <c r="F95" s="42"/>
      <c r="G95" s="42"/>
      <c r="H95" s="42"/>
      <c r="I95" s="42"/>
      <c r="J95" s="42"/>
      <c r="K95" s="42"/>
      <c r="L95" s="49"/>
      <c r="M95" s="42"/>
      <c r="N95" s="42"/>
      <c r="O95" s="42"/>
    </row>
    <row r="96" spans="1:15">
      <c r="A96" s="41" t="s">
        <v>374</v>
      </c>
      <c r="B96" s="42"/>
      <c r="C96" s="42">
        <f>C95/(1000*C86)</f>
        <v>0.23749999999999996</v>
      </c>
      <c r="D96" s="112" t="s">
        <v>171</v>
      </c>
      <c r="E96" s="42"/>
      <c r="F96" s="42"/>
      <c r="G96" s="42"/>
      <c r="H96" s="42"/>
      <c r="I96" s="42"/>
      <c r="J96" s="42"/>
      <c r="K96" s="42"/>
      <c r="L96" s="49"/>
      <c r="M96" s="42"/>
      <c r="N96" s="42"/>
      <c r="O96" s="42"/>
    </row>
    <row r="97" spans="1:15">
      <c r="A97" s="41" t="s">
        <v>375</v>
      </c>
      <c r="B97" s="42"/>
      <c r="C97" s="42">
        <f>0.29</f>
        <v>0.28999999999999998</v>
      </c>
      <c r="D97" s="42"/>
      <c r="E97" s="42" t="s">
        <v>377</v>
      </c>
      <c r="F97" s="42"/>
      <c r="G97" s="42"/>
      <c r="H97" s="42"/>
      <c r="I97" s="42"/>
      <c r="J97" s="117" t="s">
        <v>314</v>
      </c>
      <c r="K97" s="42"/>
      <c r="L97" s="49"/>
      <c r="M97" s="42"/>
      <c r="N97" s="42"/>
      <c r="O97" s="42"/>
    </row>
    <row r="98" spans="1:15">
      <c r="A98" s="41"/>
      <c r="B98" s="42"/>
      <c r="C98" s="95"/>
      <c r="D98" s="42"/>
      <c r="E98" s="42"/>
      <c r="F98" s="42"/>
      <c r="G98" s="42"/>
      <c r="H98" s="42"/>
      <c r="I98" s="42"/>
      <c r="J98" s="42"/>
      <c r="K98" s="42"/>
      <c r="L98" s="49"/>
      <c r="M98" s="42"/>
      <c r="N98" s="42"/>
      <c r="O98" s="42"/>
    </row>
    <row r="99" spans="1:15">
      <c r="A99" s="41" t="s">
        <v>388</v>
      </c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378</v>
      </c>
      <c r="B100" s="42"/>
      <c r="C100" s="42" t="s">
        <v>380</v>
      </c>
      <c r="D100" s="42"/>
      <c r="E100" s="42"/>
      <c r="F100" s="42"/>
      <c r="G100" s="42"/>
      <c r="H100" s="42"/>
      <c r="I100" s="42"/>
      <c r="J100" s="117" t="s">
        <v>381</v>
      </c>
      <c r="K100" s="42"/>
      <c r="L100" s="49"/>
      <c r="M100" s="42"/>
      <c r="N100" s="42"/>
      <c r="O100" s="42"/>
    </row>
    <row r="101" spans="1:15">
      <c r="A101" s="41" t="s">
        <v>379</v>
      </c>
      <c r="B101" s="42"/>
      <c r="C101" s="42">
        <f>0.084*C93*B81*B81</f>
        <v>26775000.000000004</v>
      </c>
      <c r="D101" s="42" t="s">
        <v>384</v>
      </c>
      <c r="E101" s="42" t="s">
        <v>382</v>
      </c>
      <c r="F101" s="42"/>
      <c r="G101" s="42"/>
      <c r="H101" s="42"/>
      <c r="I101" s="42"/>
      <c r="J101" s="42"/>
      <c r="K101" s="42"/>
      <c r="L101" s="49"/>
      <c r="M101" s="42"/>
      <c r="N101" s="42"/>
      <c r="O101" s="42"/>
    </row>
    <row r="102" spans="1:15">
      <c r="A102" s="41" t="s">
        <v>379</v>
      </c>
      <c r="B102" s="42"/>
      <c r="C102" s="42">
        <f>0.063*C93*B81*B81</f>
        <v>20081250</v>
      </c>
      <c r="D102" s="42" t="s">
        <v>384</v>
      </c>
      <c r="E102" s="42" t="s">
        <v>383</v>
      </c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387</v>
      </c>
      <c r="B103" s="42"/>
      <c r="C103" s="42">
        <f>C102/2</f>
        <v>10040625</v>
      </c>
      <c r="D103" s="42" t="s">
        <v>384</v>
      </c>
      <c r="E103" s="42" t="s">
        <v>385</v>
      </c>
      <c r="F103" s="42"/>
      <c r="G103" s="42"/>
      <c r="H103" s="42"/>
      <c r="I103" s="42"/>
      <c r="J103" s="117" t="s">
        <v>386</v>
      </c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 t="s">
        <v>389</v>
      </c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 t="s">
        <v>378</v>
      </c>
      <c r="B107" s="42"/>
      <c r="C107" s="42" t="s">
        <v>380</v>
      </c>
      <c r="D107" s="42"/>
      <c r="E107" s="42"/>
      <c r="F107" s="42"/>
      <c r="G107" s="42"/>
      <c r="H107" s="42"/>
      <c r="I107" s="42"/>
      <c r="J107" s="117" t="s">
        <v>381</v>
      </c>
      <c r="K107" s="42"/>
      <c r="L107" s="49"/>
      <c r="M107" s="42"/>
      <c r="N107" s="42"/>
      <c r="O107" s="42"/>
    </row>
    <row r="108" spans="1:15">
      <c r="A108" s="41" t="s">
        <v>379</v>
      </c>
      <c r="B108" s="42"/>
      <c r="C108" s="42">
        <f>0.047*C93*B81*B81</f>
        <v>14981249.999999998</v>
      </c>
      <c r="D108" s="42" t="s">
        <v>384</v>
      </c>
      <c r="E108" s="42" t="s">
        <v>382</v>
      </c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 t="s">
        <v>379</v>
      </c>
      <c r="B109" s="42"/>
      <c r="C109" s="42">
        <f>0.035*C93*B81*B81</f>
        <v>11156250</v>
      </c>
      <c r="D109" s="42" t="s">
        <v>384</v>
      </c>
      <c r="E109" s="42" t="s">
        <v>383</v>
      </c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 t="s">
        <v>387</v>
      </c>
      <c r="B110" s="42"/>
      <c r="C110" s="42">
        <f>C109/2</f>
        <v>5578125</v>
      </c>
      <c r="D110" s="42" t="s">
        <v>384</v>
      </c>
      <c r="E110" s="42" t="s">
        <v>385</v>
      </c>
      <c r="F110" s="42"/>
      <c r="G110" s="42"/>
      <c r="H110" s="42"/>
      <c r="I110" s="42"/>
      <c r="J110" s="117" t="s">
        <v>386</v>
      </c>
      <c r="K110" s="42"/>
      <c r="L110" s="49"/>
      <c r="M110" s="42"/>
      <c r="N110" s="42"/>
      <c r="O110" s="42"/>
    </row>
    <row r="111" spans="1:15" ht="15">
      <c r="A111" s="112"/>
      <c r="B111" s="42"/>
      <c r="C111" s="42"/>
      <c r="D111" s="118"/>
      <c r="E111" s="95"/>
      <c r="F111" s="29"/>
      <c r="G111" s="29"/>
      <c r="H111" s="29"/>
      <c r="I111" s="29"/>
      <c r="J111" s="29"/>
      <c r="K111" s="42"/>
      <c r="L111" s="49"/>
      <c r="M111" s="42"/>
      <c r="N111" s="42"/>
      <c r="O111" s="42"/>
    </row>
    <row r="112" spans="1:15" ht="15">
      <c r="A112" s="42"/>
      <c r="B112" s="42"/>
      <c r="C112" s="136"/>
      <c r="D112" s="118"/>
      <c r="E112" s="42"/>
      <c r="F112" s="42"/>
      <c r="G112" s="42"/>
      <c r="H112" s="42"/>
      <c r="I112" s="42"/>
      <c r="J112" s="42"/>
      <c r="K112" s="42"/>
      <c r="L112" s="49"/>
      <c r="M112" s="42"/>
      <c r="N112" s="42"/>
      <c r="O112" s="42"/>
    </row>
    <row r="113" spans="1:15" ht="15">
      <c r="A113" s="112" t="s">
        <v>390</v>
      </c>
      <c r="B113" s="42"/>
      <c r="C113" s="136">
        <f>0.12*1000*C87/100</f>
        <v>216</v>
      </c>
      <c r="D113" s="118" t="s">
        <v>172</v>
      </c>
      <c r="E113" s="42"/>
      <c r="F113" s="42"/>
      <c r="G113" s="42"/>
      <c r="H113" s="42"/>
      <c r="I113" s="42"/>
      <c r="J113" s="42"/>
      <c r="K113" s="42"/>
      <c r="L113" s="49"/>
      <c r="M113" s="42"/>
      <c r="N113" s="42"/>
      <c r="O113" s="42"/>
    </row>
    <row r="114" spans="1:15" ht="15">
      <c r="A114" s="112" t="s">
        <v>391</v>
      </c>
      <c r="B114" s="112"/>
      <c r="C114" s="123">
        <f xml:space="preserve"> 3*C87</f>
        <v>540</v>
      </c>
      <c r="D114" s="180" t="s">
        <v>392</v>
      </c>
      <c r="E114" s="42">
        <v>300</v>
      </c>
      <c r="F114" s="42"/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2"/>
      <c r="B115" s="112"/>
      <c r="C115" s="123"/>
      <c r="D115" s="118"/>
      <c r="E115" s="42"/>
      <c r="F115" s="42"/>
      <c r="G115" s="42"/>
      <c r="H115" s="42"/>
      <c r="I115" s="42"/>
      <c r="J115" s="42"/>
      <c r="K115" s="42"/>
      <c r="L115" s="49"/>
      <c r="M115" s="42"/>
      <c r="N115" s="42"/>
      <c r="O115" s="42"/>
    </row>
    <row r="116" spans="1:15" ht="15.75" thickBot="1">
      <c r="A116" s="42"/>
      <c r="B116" s="112"/>
      <c r="C116" s="136"/>
      <c r="D116" s="118"/>
      <c r="E116" s="42"/>
      <c r="F116" s="42"/>
      <c r="G116" s="42"/>
      <c r="H116" s="42"/>
      <c r="I116" s="42"/>
      <c r="J116" s="42"/>
      <c r="K116" s="42"/>
      <c r="L116" s="49"/>
      <c r="M116" s="42"/>
      <c r="N116" s="42"/>
      <c r="O116" s="42"/>
    </row>
    <row r="117" spans="1:15" ht="15">
      <c r="A117" s="59"/>
      <c r="B117" s="181" t="s">
        <v>400</v>
      </c>
      <c r="C117" s="143"/>
      <c r="D117" s="182" t="s">
        <v>393</v>
      </c>
      <c r="E117" s="143"/>
      <c r="F117" s="183" t="s">
        <v>398</v>
      </c>
      <c r="G117" s="143"/>
      <c r="H117" s="60" t="s">
        <v>399</v>
      </c>
      <c r="I117" s="60" t="s">
        <v>403</v>
      </c>
      <c r="J117" s="60" t="s">
        <v>297</v>
      </c>
      <c r="K117" s="60" t="s">
        <v>401</v>
      </c>
      <c r="L117" s="61" t="s">
        <v>402</v>
      </c>
      <c r="M117" s="42"/>
      <c r="N117" s="42"/>
      <c r="O117" s="42"/>
    </row>
    <row r="118" spans="1:15" ht="15">
      <c r="A118" s="41" t="s">
        <v>394</v>
      </c>
      <c r="B118" s="112"/>
      <c r="C118" s="29"/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396</v>
      </c>
      <c r="B119" s="42">
        <f>C101</f>
        <v>26775000.000000004</v>
      </c>
      <c r="C119" s="42"/>
      <c r="D119" s="42">
        <f>B119/((1000*C86)*C86)</f>
        <v>1.1437908496732028</v>
      </c>
      <c r="E119" s="42"/>
      <c r="F119" s="42">
        <v>0.34</v>
      </c>
      <c r="G119" s="42"/>
      <c r="H119" s="42">
        <f>F119*1000*C86/100</f>
        <v>520.20000000000005</v>
      </c>
      <c r="I119" s="42">
        <f>216</f>
        <v>216</v>
      </c>
      <c r="J119" s="29">
        <f>1.2-(1.44-6.6*B119/(B78*1000*B84*B84))^0.5</f>
        <v>0.16919981586737998</v>
      </c>
      <c r="K119" s="42">
        <f>(B84-15-6)*(1-0.416*J119)</f>
        <v>122.70889971109042</v>
      </c>
      <c r="L119" s="49">
        <f xml:space="preserve"> (B119)/(0.87*B79*K119)</f>
        <v>604.34657922319673</v>
      </c>
      <c r="M119" s="42"/>
      <c r="N119" s="42"/>
      <c r="O119" s="42"/>
    </row>
    <row r="120" spans="1:15">
      <c r="A120" s="41" t="s">
        <v>397</v>
      </c>
      <c r="B120" s="42">
        <f>C102</f>
        <v>20081250</v>
      </c>
      <c r="C120" s="123"/>
      <c r="D120" s="42">
        <f>B120/((1000*C86)*C86)</f>
        <v>0.85784313725490191</v>
      </c>
      <c r="E120" s="42"/>
      <c r="F120" s="42">
        <v>0.251</v>
      </c>
      <c r="G120" s="42"/>
      <c r="H120" s="42">
        <f>F120*1000*C86/100</f>
        <v>384.03</v>
      </c>
      <c r="I120" s="42">
        <f>216</f>
        <v>216</v>
      </c>
      <c r="J120" s="29">
        <f>1.2-(1.44-6.6*B120/(B78*1000*B84*B84))^0.5</f>
        <v>0.12440167129830382</v>
      </c>
      <c r="K120" s="42">
        <f>(B84-15-6)*(1-0.416*J120)</f>
        <v>125.16885542566754</v>
      </c>
      <c r="L120" s="49">
        <f xml:space="preserve"> (B120)/(0.87*B79*K120)</f>
        <v>444.35197275179701</v>
      </c>
      <c r="M120" s="42"/>
      <c r="N120" s="42"/>
      <c r="O120" s="42"/>
    </row>
    <row r="121" spans="1:15">
      <c r="A121" s="41" t="s">
        <v>396</v>
      </c>
      <c r="B121" s="29">
        <f>C103</f>
        <v>10040625</v>
      </c>
      <c r="C121" s="136"/>
      <c r="D121" s="42">
        <f>B121/((1000*C86)*C86)</f>
        <v>0.42892156862745096</v>
      </c>
      <c r="E121" s="29"/>
      <c r="F121" s="29">
        <v>0.123</v>
      </c>
      <c r="G121" s="29"/>
      <c r="H121" s="29">
        <f>F121*1000*C86/100</f>
        <v>188.19</v>
      </c>
      <c r="I121" s="42">
        <f>216</f>
        <v>216</v>
      </c>
      <c r="J121" s="29">
        <f>1.2-(1.44-6.6*B121/(B78*1000*B84*B84))^0.5</f>
        <v>6.0501916476845885E-2</v>
      </c>
      <c r="K121" s="29">
        <f>(B84-15-6)*(1-0.416*J121)</f>
        <v>128.67771876242344</v>
      </c>
      <c r="L121" s="49">
        <f xml:space="preserve"> (B121)/(0.87*B79*K121)</f>
        <v>216.11755465671868</v>
      </c>
    </row>
    <row r="122" spans="1:15">
      <c r="A122" s="28" t="s">
        <v>395</v>
      </c>
      <c r="B122" s="29"/>
      <c r="C122" s="29"/>
      <c r="D122" s="95"/>
      <c r="E122" s="29"/>
      <c r="F122" s="29"/>
      <c r="G122" s="29"/>
      <c r="H122" s="29"/>
      <c r="I122" s="29"/>
      <c r="J122" s="29"/>
      <c r="K122" s="29"/>
      <c r="L122" s="49"/>
    </row>
    <row r="123" spans="1:15">
      <c r="A123" s="28" t="s">
        <v>396</v>
      </c>
      <c r="B123" s="29">
        <f>C108</f>
        <v>14981249.999999998</v>
      </c>
      <c r="C123" s="29"/>
      <c r="D123" s="35">
        <f>B123/((1000*C86)*C86)</f>
        <v>0.63997821350762518</v>
      </c>
      <c r="E123" s="29"/>
      <c r="F123" s="35">
        <v>0.184</v>
      </c>
      <c r="G123" s="29"/>
      <c r="H123" s="35">
        <f>F123*1000*C86/100</f>
        <v>281.52</v>
      </c>
      <c r="I123" s="42">
        <f>216</f>
        <v>216</v>
      </c>
      <c r="J123" s="29">
        <f>1.2-(1.44-6.6*B123/(B78*1000*B84*B84))^0.5</f>
        <v>9.1484240282311724E-2</v>
      </c>
      <c r="K123" s="29">
        <f>(B84-15-6)*(1-0.416*J123)</f>
        <v>126.97641739761769</v>
      </c>
      <c r="L123" s="49">
        <f xml:space="preserve"> (B123)/(0.87*B79*K123)</f>
        <v>326.78162842441168</v>
      </c>
    </row>
    <row r="124" spans="1:15">
      <c r="A124" s="28" t="s">
        <v>397</v>
      </c>
      <c r="B124" s="29">
        <f>C109</f>
        <v>11156250</v>
      </c>
      <c r="C124" s="29"/>
      <c r="D124" s="35">
        <f>B124/((1000*C86)*C86)</f>
        <v>0.47657952069716775</v>
      </c>
      <c r="E124" s="29"/>
      <c r="F124" s="35">
        <v>0.13700000000000001</v>
      </c>
      <c r="G124" s="29"/>
      <c r="H124" s="35">
        <f>F124*1000*C86/100</f>
        <v>209.61</v>
      </c>
      <c r="I124" s="42">
        <f>216</f>
        <v>216</v>
      </c>
      <c r="J124" s="29">
        <f>1.2-(1.44-6.6*B124/(B78*1000*B84*B84))^0.5</f>
        <v>6.7423840013425496E-2</v>
      </c>
      <c r="K124" s="29">
        <f>(B84-15-6)*(1-0.416*J124)</f>
        <v>128.29762209718277</v>
      </c>
      <c r="L124" s="49">
        <f xml:space="preserve"> (B124)/(0.87*B79*K124)</f>
        <v>240.84203123573266</v>
      </c>
    </row>
    <row r="125" spans="1:15" ht="15" thickBot="1">
      <c r="A125" s="28" t="s">
        <v>396</v>
      </c>
      <c r="B125" s="29">
        <f>C110</f>
        <v>5578125</v>
      </c>
      <c r="C125" s="29"/>
      <c r="D125" s="29">
        <f>B125/((1000*C86)*C86)</f>
        <v>0.23828976034858387</v>
      </c>
      <c r="E125" s="29"/>
      <c r="F125" s="29">
        <v>0.12</v>
      </c>
      <c r="G125" s="29"/>
      <c r="H125" s="29">
        <f>F125*1000*C86/100</f>
        <v>183.6</v>
      </c>
      <c r="I125" s="42">
        <f>216</f>
        <v>216</v>
      </c>
      <c r="J125" s="29">
        <f>1.2-(1.44-6.6*B125/(B78*1000*B84*B84))^0.5</f>
        <v>3.3224794964785254E-2</v>
      </c>
      <c r="K125" s="29">
        <f>(B84-15-6)*(1-0.416*J125)</f>
        <v>130.17556005889372</v>
      </c>
      <c r="L125" s="49">
        <f xml:space="preserve"> (B125)/(0.87*B79*K125)</f>
        <v>118.68379861250628</v>
      </c>
    </row>
    <row r="126" spans="1:15">
      <c r="A126" s="185" t="s">
        <v>404</v>
      </c>
      <c r="B126" s="143"/>
      <c r="C126" s="143" t="s">
        <v>406</v>
      </c>
      <c r="D126" s="143"/>
      <c r="E126" s="143"/>
      <c r="F126" s="143"/>
      <c r="G126" s="143"/>
      <c r="H126" s="143"/>
      <c r="I126" s="143"/>
      <c r="J126" s="143"/>
      <c r="K126" s="143"/>
      <c r="L126" s="184"/>
    </row>
    <row r="127" spans="1:15">
      <c r="A127" s="28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30"/>
    </row>
    <row r="128" spans="1:15">
      <c r="A128" s="28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30"/>
    </row>
    <row r="129" spans="1:12">
      <c r="A129" s="28" t="s">
        <v>405</v>
      </c>
      <c r="B129" s="29"/>
      <c r="C129" s="29">
        <f>0.75*MAX(H119,H121,H120,H123,H124,H125)</f>
        <v>390.15000000000003</v>
      </c>
      <c r="D129" s="29" t="s">
        <v>172</v>
      </c>
      <c r="E129" s="29"/>
      <c r="F129" s="29"/>
      <c r="G129" s="29"/>
      <c r="H129" s="29"/>
      <c r="I129" s="29"/>
      <c r="J129" s="29"/>
      <c r="K129" s="29"/>
      <c r="L129" s="30"/>
    </row>
    <row r="130" spans="1:12">
      <c r="A130" s="28" t="s">
        <v>407</v>
      </c>
      <c r="B130" s="29"/>
      <c r="C130" s="29">
        <f>0.2*B81</f>
        <v>1000</v>
      </c>
      <c r="D130" s="29"/>
      <c r="E130" s="29" t="s">
        <v>408</v>
      </c>
      <c r="F130" s="29"/>
      <c r="G130" s="29"/>
      <c r="H130" s="29"/>
      <c r="I130" s="29"/>
      <c r="J130" s="29"/>
      <c r="K130" s="29"/>
      <c r="L130" s="30"/>
    </row>
    <row r="131" spans="1:12">
      <c r="A131" s="28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30"/>
    </row>
    <row r="132" spans="1:12">
      <c r="A132" s="28"/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30"/>
    </row>
    <row r="133" spans="1:12" ht="15" thickBot="1">
      <c r="A133" s="137"/>
      <c r="B133" s="138"/>
      <c r="C133" s="138"/>
      <c r="D133" s="138"/>
      <c r="E133" s="138"/>
      <c r="F133" s="138"/>
      <c r="G133" s="138"/>
      <c r="H133" s="138"/>
      <c r="I133" s="138"/>
      <c r="J133" s="138"/>
      <c r="K133" s="138"/>
      <c r="L133" s="139"/>
    </row>
  </sheetData>
  <mergeCells count="1">
    <mergeCell ref="F1:K4"/>
  </mergeCells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</row>
    <row r="9" spans="1:30">
      <c r="A9" t="s">
        <v>94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88</v>
      </c>
      <c r="R122" t="s">
        <v>91</v>
      </c>
    </row>
    <row r="124" spans="14:21">
      <c r="U124" t="s">
        <v>107</v>
      </c>
    </row>
    <row r="125" spans="14:21">
      <c r="N125" t="s">
        <v>89</v>
      </c>
    </row>
    <row r="135" spans="14:21">
      <c r="N135" t="s">
        <v>90</v>
      </c>
    </row>
    <row r="139" spans="14:21">
      <c r="U139" t="s">
        <v>93</v>
      </c>
    </row>
    <row r="142" spans="14:21">
      <c r="O142" t="s">
        <v>92</v>
      </c>
    </row>
    <row r="168" spans="14:18">
      <c r="O168" t="s">
        <v>88</v>
      </c>
      <c r="R168" t="s">
        <v>91</v>
      </c>
    </row>
    <row r="171" spans="14:18">
      <c r="N171" t="s">
        <v>89</v>
      </c>
    </row>
    <row r="181" spans="14:15">
      <c r="N181" t="s">
        <v>90</v>
      </c>
    </row>
    <row r="188" spans="14:15">
      <c r="O188" t="s">
        <v>92</v>
      </c>
    </row>
    <row r="215" spans="15:15">
      <c r="O215" t="s">
        <v>100</v>
      </c>
    </row>
    <row r="256" spans="15:15">
      <c r="O256" t="s">
        <v>101</v>
      </c>
    </row>
    <row r="257" spans="15:16">
      <c r="O257" t="s">
        <v>103</v>
      </c>
      <c r="P257" t="s">
        <v>102</v>
      </c>
    </row>
    <row r="283" spans="15:19">
      <c r="O283" t="s">
        <v>106</v>
      </c>
      <c r="S283" s="22" t="s">
        <v>117</v>
      </c>
    </row>
    <row r="306" spans="14:14">
      <c r="N306" t="s">
        <v>96</v>
      </c>
    </row>
    <row r="307" spans="14:14" ht="18.75">
      <c r="N307" s="94" t="s">
        <v>104</v>
      </c>
    </row>
    <row r="309" spans="14:14" ht="18.75">
      <c r="N309" s="94" t="s">
        <v>105</v>
      </c>
    </row>
    <row r="314" spans="14:14">
      <c r="N314" t="s">
        <v>95</v>
      </c>
    </row>
    <row r="320" spans="14:14">
      <c r="N320" t="s">
        <v>114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</row>
    <row r="6" spans="1:17">
      <c r="A6" t="s">
        <v>94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zoomScale="145" zoomScaleNormal="145" workbookViewId="0">
      <selection activeCell="L47" sqref="L47"/>
    </sheetView>
  </sheetViews>
  <sheetFormatPr defaultRowHeight="14.25"/>
  <sheetData>
    <row r="1" spans="1:109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99" t="s">
        <v>71</v>
      </c>
      <c r="AR9" s="99"/>
      <c r="AS9" s="99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99" t="s">
        <v>94</v>
      </c>
      <c r="AD10" s="99"/>
      <c r="AE10" s="99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94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96" t="s">
        <v>441</v>
      </c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 t="s">
        <v>420</v>
      </c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96" t="s">
        <v>441</v>
      </c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7"/>
  <sheetViews>
    <sheetView zoomScale="90" zoomScaleNormal="90" workbookViewId="0">
      <selection activeCell="D34" sqref="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9" t="s">
        <v>13</v>
      </c>
      <c r="B1" s="230"/>
      <c r="C1" s="230"/>
      <c r="D1" s="230"/>
      <c r="E1" s="230"/>
      <c r="F1" s="230"/>
      <c r="G1" s="230"/>
      <c r="H1" s="230"/>
      <c r="I1" s="230"/>
      <c r="J1" s="230"/>
      <c r="K1" s="230"/>
      <c r="L1" s="230"/>
      <c r="M1" s="230"/>
      <c r="N1" s="230"/>
      <c r="O1" s="230"/>
      <c r="P1" s="231"/>
      <c r="Q1" s="89"/>
      <c r="R1" s="89"/>
      <c r="S1" s="89"/>
      <c r="T1" s="89"/>
      <c r="U1" s="89"/>
      <c r="V1" s="89"/>
      <c r="W1" s="89"/>
    </row>
    <row r="2" spans="1:23" ht="12.75" customHeight="1">
      <c r="A2" s="232"/>
      <c r="B2" s="233"/>
      <c r="C2" s="233"/>
      <c r="D2" s="233"/>
      <c r="E2" s="233"/>
      <c r="F2" s="233"/>
      <c r="G2" s="233"/>
      <c r="H2" s="233"/>
      <c r="I2" s="233"/>
      <c r="J2" s="233"/>
      <c r="K2" s="233"/>
      <c r="L2" s="233"/>
      <c r="M2" s="233"/>
      <c r="N2" s="233"/>
      <c r="O2" s="233"/>
      <c r="P2" s="234"/>
      <c r="Q2" s="89"/>
      <c r="R2" s="89"/>
      <c r="S2" s="89"/>
      <c r="T2" s="89"/>
      <c r="U2" s="89"/>
      <c r="V2" s="89"/>
      <c r="W2" s="89"/>
    </row>
    <row r="3" spans="1:23" ht="12.75" customHeight="1">
      <c r="A3" s="232"/>
      <c r="B3" s="233"/>
      <c r="C3" s="233"/>
      <c r="D3" s="233"/>
      <c r="E3" s="233"/>
      <c r="F3" s="233"/>
      <c r="G3" s="233"/>
      <c r="H3" s="233"/>
      <c r="I3" s="233"/>
      <c r="J3" s="233"/>
      <c r="K3" s="233"/>
      <c r="L3" s="233"/>
      <c r="M3" s="233"/>
      <c r="N3" s="233"/>
      <c r="O3" s="233"/>
      <c r="P3" s="234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35"/>
      <c r="B4" s="236"/>
      <c r="C4" s="236"/>
      <c r="D4" s="236"/>
      <c r="E4" s="236"/>
      <c r="F4" s="236"/>
      <c r="G4" s="236"/>
      <c r="H4" s="236"/>
      <c r="I4" s="236"/>
      <c r="J4" s="236"/>
      <c r="K4" s="236"/>
      <c r="L4" s="236"/>
      <c r="M4" s="236"/>
      <c r="N4" s="236"/>
      <c r="O4" s="236"/>
      <c r="P4" s="237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235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202" t="s">
        <v>51</v>
      </c>
      <c r="D10" s="203" t="s">
        <v>122</v>
      </c>
      <c r="E10" s="238" t="s">
        <v>52</v>
      </c>
      <c r="F10" s="246"/>
      <c r="G10" s="246"/>
      <c r="H10" s="238" t="s">
        <v>54</v>
      </c>
      <c r="I10" s="239"/>
      <c r="J10" s="238" t="s">
        <v>55</v>
      </c>
      <c r="K10" s="239"/>
      <c r="L10" s="238" t="s">
        <v>56</v>
      </c>
      <c r="M10" s="239"/>
      <c r="N10" s="238" t="s">
        <v>53</v>
      </c>
      <c r="O10" s="246"/>
      <c r="P10" s="239"/>
    </row>
    <row r="11" spans="1:23" ht="14.25" customHeight="1" thickBot="1">
      <c r="A11" s="240" t="s">
        <v>121</v>
      </c>
      <c r="B11" s="243" t="s">
        <v>479</v>
      </c>
      <c r="C11" s="221" t="s">
        <v>72</v>
      </c>
      <c r="D11" s="217" t="s">
        <v>115</v>
      </c>
      <c r="E11" s="219" t="s">
        <v>28</v>
      </c>
      <c r="F11" s="220"/>
      <c r="G11" s="220"/>
      <c r="H11" s="227"/>
      <c r="I11" s="228"/>
      <c r="J11" s="227"/>
      <c r="K11" s="228"/>
      <c r="L11" s="227"/>
      <c r="M11" s="228"/>
      <c r="N11" s="248"/>
      <c r="O11" s="249"/>
      <c r="P11" s="250"/>
    </row>
    <row r="12" spans="1:23" ht="14.25" customHeight="1" thickBot="1">
      <c r="A12" s="241"/>
      <c r="B12" s="244"/>
      <c r="C12" s="224"/>
      <c r="D12" s="218"/>
      <c r="E12" s="225" t="s">
        <v>29</v>
      </c>
      <c r="F12" s="226"/>
      <c r="G12" s="226"/>
      <c r="H12" s="227"/>
      <c r="I12" s="228"/>
      <c r="J12" s="227"/>
      <c r="K12" s="228"/>
      <c r="L12" s="227"/>
      <c r="M12" s="228"/>
      <c r="N12" s="248"/>
      <c r="O12" s="249"/>
      <c r="P12" s="250"/>
    </row>
    <row r="13" spans="1:23" ht="14.25" customHeight="1" thickBot="1">
      <c r="A13" s="241"/>
      <c r="B13" s="244"/>
      <c r="C13" s="247" t="s">
        <v>73</v>
      </c>
      <c r="D13" s="217" t="s">
        <v>115</v>
      </c>
      <c r="E13" s="219" t="s">
        <v>28</v>
      </c>
      <c r="F13" s="220"/>
      <c r="G13" s="220"/>
      <c r="H13" s="227"/>
      <c r="I13" s="228"/>
      <c r="J13" s="227"/>
      <c r="K13" s="228"/>
      <c r="L13" s="227"/>
      <c r="M13" s="228"/>
      <c r="N13" s="248"/>
      <c r="O13" s="249"/>
      <c r="P13" s="250"/>
    </row>
    <row r="14" spans="1:23" ht="14.25" customHeight="1" thickBot="1">
      <c r="A14" s="241"/>
      <c r="B14" s="244"/>
      <c r="C14" s="247"/>
      <c r="D14" s="218"/>
      <c r="E14" s="225" t="s">
        <v>29</v>
      </c>
      <c r="F14" s="226"/>
      <c r="G14" s="226"/>
      <c r="H14" s="227"/>
      <c r="I14" s="228"/>
      <c r="J14" s="227"/>
      <c r="K14" s="228"/>
      <c r="L14" s="227"/>
      <c r="M14" s="228"/>
      <c r="N14" s="248"/>
      <c r="O14" s="249"/>
      <c r="P14" s="250"/>
    </row>
    <row r="15" spans="1:23" ht="14.25" customHeight="1" thickBot="1">
      <c r="A15" s="241"/>
      <c r="B15" s="244"/>
      <c r="C15" s="221" t="s">
        <v>481</v>
      </c>
      <c r="D15" s="217" t="s">
        <v>115</v>
      </c>
      <c r="E15" s="219" t="s">
        <v>28</v>
      </c>
      <c r="F15" s="220"/>
      <c r="G15" s="221"/>
      <c r="H15" s="186"/>
      <c r="I15" s="187"/>
      <c r="J15" s="186"/>
      <c r="K15" s="187"/>
      <c r="L15" s="227"/>
      <c r="M15" s="228"/>
      <c r="N15" s="188"/>
      <c r="O15" s="189"/>
      <c r="P15" s="190"/>
    </row>
    <row r="16" spans="1:23" ht="14.25" customHeight="1" thickBot="1">
      <c r="A16" s="241"/>
      <c r="B16" s="245"/>
      <c r="C16" s="224"/>
      <c r="D16" s="218"/>
      <c r="E16" s="222"/>
      <c r="F16" s="223"/>
      <c r="G16" s="224"/>
      <c r="H16" s="186"/>
      <c r="I16" s="187"/>
      <c r="J16" s="186"/>
      <c r="K16" s="187"/>
      <c r="L16" s="227"/>
      <c r="M16" s="228"/>
      <c r="N16" s="188"/>
      <c r="O16" s="189"/>
      <c r="P16" s="190"/>
    </row>
    <row r="17" spans="1:16" ht="14.25" customHeight="1" thickBot="1">
      <c r="A17" s="241"/>
      <c r="B17" s="243" t="s">
        <v>480</v>
      </c>
      <c r="C17" s="221" t="s">
        <v>72</v>
      </c>
      <c r="D17" s="217" t="s">
        <v>115</v>
      </c>
      <c r="E17" s="219" t="s">
        <v>28</v>
      </c>
      <c r="F17" s="220"/>
      <c r="G17" s="220"/>
      <c r="H17" s="227"/>
      <c r="I17" s="228"/>
      <c r="J17" s="227"/>
      <c r="K17" s="228"/>
      <c r="L17" s="227"/>
      <c r="M17" s="228"/>
      <c r="N17" s="248"/>
      <c r="O17" s="249"/>
      <c r="P17" s="250"/>
    </row>
    <row r="18" spans="1:16" ht="14.25" customHeight="1" thickBot="1">
      <c r="A18" s="241"/>
      <c r="B18" s="244"/>
      <c r="C18" s="224"/>
      <c r="D18" s="218"/>
      <c r="E18" s="225" t="s">
        <v>29</v>
      </c>
      <c r="F18" s="226"/>
      <c r="G18" s="226"/>
      <c r="H18" s="227"/>
      <c r="I18" s="228"/>
      <c r="J18" s="227"/>
      <c r="K18" s="228"/>
      <c r="L18" s="227"/>
      <c r="M18" s="228"/>
      <c r="N18" s="248"/>
      <c r="O18" s="249"/>
      <c r="P18" s="250"/>
    </row>
    <row r="19" spans="1:16" ht="14.25" customHeight="1" thickBot="1">
      <c r="A19" s="241"/>
      <c r="B19" s="244"/>
      <c r="C19" s="247" t="s">
        <v>73</v>
      </c>
      <c r="D19" s="217" t="s">
        <v>115</v>
      </c>
      <c r="E19" s="219" t="s">
        <v>28</v>
      </c>
      <c r="F19" s="220"/>
      <c r="G19" s="220"/>
      <c r="H19" s="227"/>
      <c r="I19" s="228"/>
      <c r="J19" s="227"/>
      <c r="K19" s="228"/>
      <c r="L19" s="227"/>
      <c r="M19" s="228"/>
      <c r="N19" s="248"/>
      <c r="O19" s="249"/>
      <c r="P19" s="250"/>
    </row>
    <row r="20" spans="1:16" ht="15" customHeight="1" thickBot="1">
      <c r="A20" s="242"/>
      <c r="B20" s="245"/>
      <c r="C20" s="224"/>
      <c r="D20" s="218"/>
      <c r="E20" s="222" t="s">
        <v>29</v>
      </c>
      <c r="F20" s="223"/>
      <c r="G20" s="223"/>
      <c r="H20" s="227"/>
      <c r="I20" s="228"/>
      <c r="J20" s="227"/>
      <c r="K20" s="228"/>
      <c r="L20" s="227"/>
      <c r="M20" s="228"/>
      <c r="N20" s="248"/>
      <c r="O20" s="249"/>
      <c r="P20" s="250"/>
    </row>
    <row r="37" spans="1:18">
      <c r="A37" s="69"/>
      <c r="B37" s="69"/>
      <c r="C37" s="70"/>
      <c r="D37" s="70"/>
      <c r="E37" s="70"/>
      <c r="F37" s="70"/>
      <c r="G37" s="68"/>
      <c r="H37" s="68"/>
      <c r="I37" s="68"/>
      <c r="J37" s="68"/>
      <c r="K37" s="68"/>
      <c r="L37" s="68"/>
      <c r="M37" s="68"/>
      <c r="N37" s="67"/>
      <c r="O37" s="67"/>
      <c r="P37" s="67"/>
      <c r="Q37" s="67"/>
      <c r="R37" s="67"/>
    </row>
  </sheetData>
  <mergeCells count="62">
    <mergeCell ref="N10:P10"/>
    <mergeCell ref="N11:P11"/>
    <mergeCell ref="N12:P12"/>
    <mergeCell ref="N13:P13"/>
    <mergeCell ref="N20:P20"/>
    <mergeCell ref="N14:P14"/>
    <mergeCell ref="N17:P17"/>
    <mergeCell ref="N18:P18"/>
    <mergeCell ref="N19:P19"/>
    <mergeCell ref="H13:I13"/>
    <mergeCell ref="L11:M11"/>
    <mergeCell ref="L12:M12"/>
    <mergeCell ref="L13:M13"/>
    <mergeCell ref="L10:M10"/>
    <mergeCell ref="H10:I10"/>
    <mergeCell ref="H11:I11"/>
    <mergeCell ref="H12:I12"/>
    <mergeCell ref="B17:B20"/>
    <mergeCell ref="B11:B16"/>
    <mergeCell ref="C15:C16"/>
    <mergeCell ref="E10:G10"/>
    <mergeCell ref="E12:G12"/>
    <mergeCell ref="E13:G13"/>
    <mergeCell ref="E11:G11"/>
    <mergeCell ref="C11:C12"/>
    <mergeCell ref="C13:C14"/>
    <mergeCell ref="C17:C18"/>
    <mergeCell ref="C19:C20"/>
    <mergeCell ref="E14:G14"/>
    <mergeCell ref="D17:D18"/>
    <mergeCell ref="A1:P4"/>
    <mergeCell ref="J20:K20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E19:G19"/>
    <mergeCell ref="L15:M15"/>
    <mergeCell ref="A11:A20"/>
    <mergeCell ref="H19:I19"/>
    <mergeCell ref="H20:I20"/>
    <mergeCell ref="L16:M16"/>
    <mergeCell ref="L17:M17"/>
    <mergeCell ref="L18:M18"/>
    <mergeCell ref="L19:M19"/>
    <mergeCell ref="L20:M20"/>
    <mergeCell ref="J19:K19"/>
    <mergeCell ref="D13:D14"/>
    <mergeCell ref="D19:D20"/>
    <mergeCell ref="D15:D16"/>
    <mergeCell ref="E15:G16"/>
    <mergeCell ref="D11:D12"/>
    <mergeCell ref="E20:G20"/>
    <mergeCell ref="E17:G17"/>
    <mergeCell ref="E18:G18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45" zoomScaleNormal="145" workbookViewId="0">
      <selection activeCell="H6" sqref="H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64"/>
      <c r="B1" s="264"/>
      <c r="C1" s="264"/>
      <c r="D1" s="264"/>
      <c r="E1" s="262" t="s">
        <v>74</v>
      </c>
      <c r="F1" s="263"/>
      <c r="G1" s="263"/>
      <c r="H1" s="263"/>
      <c r="I1" s="263"/>
      <c r="J1" s="263"/>
      <c r="K1" s="263"/>
      <c r="L1" s="263"/>
      <c r="M1" s="263"/>
      <c r="N1" s="263"/>
      <c r="O1" s="263"/>
      <c r="P1" s="263"/>
      <c r="Q1" s="263"/>
      <c r="R1" s="263"/>
      <c r="S1" s="263"/>
      <c r="T1" s="263"/>
      <c r="U1" s="263"/>
      <c r="V1" s="263"/>
      <c r="W1" s="263"/>
      <c r="X1" s="263"/>
      <c r="Y1" s="263"/>
      <c r="Z1" s="263"/>
      <c r="AA1" s="263"/>
      <c r="AB1" s="263"/>
      <c r="AC1" s="263"/>
      <c r="AD1" s="263"/>
      <c r="AE1" s="263"/>
      <c r="AF1" s="263"/>
      <c r="AG1" s="263"/>
      <c r="AH1" s="263"/>
      <c r="AI1" s="263"/>
      <c r="AJ1" s="263"/>
    </row>
    <row r="2" spans="1:36">
      <c r="A2" s="264"/>
      <c r="B2" s="264"/>
      <c r="C2" s="264"/>
      <c r="D2" s="264"/>
      <c r="E2" s="23"/>
      <c r="F2" s="23"/>
      <c r="G2" s="23"/>
      <c r="H2" s="23"/>
      <c r="I2" s="264" t="s">
        <v>15</v>
      </c>
      <c r="J2" s="264"/>
      <c r="K2" s="264"/>
      <c r="L2" s="264"/>
      <c r="M2" s="264"/>
      <c r="N2" s="264"/>
      <c r="O2" s="264"/>
      <c r="P2" s="264"/>
      <c r="Q2" s="264"/>
      <c r="R2" s="264"/>
      <c r="S2" s="264"/>
      <c r="T2" s="264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4"/>
      <c r="AJ2" s="154"/>
    </row>
    <row r="3" spans="1:36">
      <c r="A3" s="264"/>
      <c r="B3" s="264"/>
      <c r="C3" s="264"/>
      <c r="D3" s="264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65" t="s">
        <v>57</v>
      </c>
      <c r="B4" s="254" t="s">
        <v>59</v>
      </c>
      <c r="C4" s="254"/>
      <c r="D4" s="254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65"/>
      <c r="B5" s="254" t="s">
        <v>60</v>
      </c>
      <c r="C5" s="254"/>
      <c r="D5" s="254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65"/>
      <c r="B6" s="254" t="s">
        <v>66</v>
      </c>
      <c r="C6" s="254"/>
      <c r="D6" s="254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65"/>
      <c r="B7" s="254" t="s">
        <v>58</v>
      </c>
      <c r="C7" s="254"/>
      <c r="D7" s="254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64"/>
      <c r="B9" s="264"/>
      <c r="C9" s="264"/>
      <c r="D9" s="264"/>
      <c r="E9" s="262" t="s">
        <v>74</v>
      </c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3"/>
      <c r="R9" s="263"/>
      <c r="S9" s="263"/>
      <c r="T9" s="263"/>
      <c r="U9" s="263"/>
      <c r="V9" s="263"/>
      <c r="W9" s="263"/>
      <c r="X9" s="263"/>
      <c r="Y9" s="263"/>
      <c r="Z9" s="263"/>
      <c r="AA9" s="263"/>
      <c r="AB9" s="263"/>
      <c r="AC9" s="263"/>
      <c r="AD9" s="263"/>
      <c r="AE9" s="263"/>
      <c r="AF9" s="263"/>
      <c r="AG9" s="263"/>
      <c r="AH9" s="263"/>
      <c r="AI9" s="263"/>
      <c r="AJ9" s="263"/>
    </row>
    <row r="10" spans="1:36">
      <c r="A10" s="264"/>
      <c r="B10" s="264"/>
      <c r="C10" s="264"/>
      <c r="D10" s="264"/>
      <c r="E10" s="23"/>
      <c r="F10" s="23"/>
      <c r="G10" s="23"/>
      <c r="H10" s="23"/>
      <c r="I10" s="264" t="s">
        <v>15</v>
      </c>
      <c r="J10" s="264"/>
      <c r="K10" s="264"/>
      <c r="L10" s="264"/>
      <c r="M10" s="264"/>
      <c r="N10" s="264"/>
      <c r="O10" s="264"/>
      <c r="P10" s="264"/>
      <c r="Q10" s="264"/>
      <c r="R10" s="264"/>
      <c r="S10" s="264"/>
      <c r="T10" s="264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4"/>
      <c r="AI10" s="154"/>
      <c r="AJ10" s="23"/>
    </row>
    <row r="11" spans="1:36">
      <c r="A11" s="264"/>
      <c r="B11" s="264"/>
      <c r="C11" s="264"/>
      <c r="D11" s="264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60" t="s">
        <v>65</v>
      </c>
      <c r="D12" s="261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52"/>
      <c r="B13" s="259"/>
      <c r="C13" s="257" t="s">
        <v>483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52"/>
      <c r="B14" s="259"/>
      <c r="C14" s="259"/>
      <c r="D14" s="23" t="s">
        <v>482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52"/>
      <c r="B15" s="259"/>
      <c r="C15" s="259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52"/>
      <c r="B16" s="259"/>
      <c r="C16" s="259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52"/>
      <c r="B17" s="153"/>
      <c r="C17" s="257" t="s">
        <v>236</v>
      </c>
      <c r="D17" s="155" t="s">
        <v>237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52"/>
      <c r="B18" s="153"/>
      <c r="C18" s="258"/>
      <c r="D18" s="155" t="s">
        <v>238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52"/>
      <c r="B19" s="252" t="s">
        <v>129</v>
      </c>
      <c r="C19" s="257" t="s">
        <v>129</v>
      </c>
      <c r="D19" s="86" t="s">
        <v>108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52"/>
      <c r="B20" s="252"/>
      <c r="C20" s="258"/>
      <c r="D20" s="86" t="s">
        <v>109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52"/>
      <c r="B21" s="251" t="s">
        <v>67</v>
      </c>
      <c r="C21" s="255" t="s">
        <v>68</v>
      </c>
      <c r="D21" s="256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52"/>
      <c r="B22" s="251"/>
      <c r="C22" s="255" t="s">
        <v>69</v>
      </c>
      <c r="D22" s="256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52"/>
      <c r="B23" s="251" t="s">
        <v>70</v>
      </c>
      <c r="C23" s="251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52"/>
      <c r="B24" s="251"/>
      <c r="C24" s="251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52"/>
      <c r="B25" s="251"/>
      <c r="C25" s="251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52"/>
      <c r="B26" s="251"/>
      <c r="C26" s="251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52"/>
      <c r="B27" s="251"/>
      <c r="C27" s="251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52"/>
      <c r="B28" s="251"/>
      <c r="C28" s="251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52"/>
      <c r="B29" s="251"/>
      <c r="C29" s="251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52"/>
      <c r="B30" s="251"/>
      <c r="C30" s="251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53"/>
      <c r="B31" s="251"/>
      <c r="C31" s="251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17:C18"/>
    <mergeCell ref="E9:AJ9"/>
    <mergeCell ref="E1:AJ1"/>
    <mergeCell ref="C13:C16"/>
    <mergeCell ref="A1:D3"/>
    <mergeCell ref="I2:T2"/>
    <mergeCell ref="A4:A7"/>
    <mergeCell ref="A9:D11"/>
    <mergeCell ref="I10:T10"/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B13:B16"/>
    <mergeCell ref="C12:D12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AH90"/>
  <sheetViews>
    <sheetView topLeftCell="M85" zoomScale="145" zoomScaleNormal="145" workbookViewId="0">
      <selection activeCell="S16" sqref="S16"/>
    </sheetView>
  </sheetViews>
  <sheetFormatPr defaultRowHeight="14.25"/>
  <cols>
    <col min="1" max="1" width="3" customWidth="1"/>
  </cols>
  <sheetData>
    <row r="1" spans="1:34">
      <c r="A1" s="270" t="s">
        <v>11</v>
      </c>
      <c r="B1" s="271"/>
      <c r="C1" s="271"/>
      <c r="D1" s="271"/>
      <c r="E1" s="271"/>
      <c r="F1" s="271"/>
      <c r="G1" s="271"/>
      <c r="H1" s="271"/>
      <c r="I1" s="271"/>
      <c r="J1" s="271"/>
      <c r="K1" s="271"/>
      <c r="L1" s="271"/>
      <c r="M1" s="271"/>
      <c r="N1" s="271"/>
      <c r="O1" s="271"/>
      <c r="P1" s="271"/>
      <c r="Q1" s="272"/>
    </row>
    <row r="2" spans="1:34">
      <c r="A2" s="273"/>
      <c r="B2" s="274"/>
      <c r="C2" s="274"/>
      <c r="D2" s="274"/>
      <c r="E2" s="274"/>
      <c r="F2" s="274"/>
      <c r="G2" s="274"/>
      <c r="H2" s="274"/>
      <c r="I2" s="274"/>
      <c r="J2" s="274"/>
      <c r="K2" s="274"/>
      <c r="L2" s="274"/>
      <c r="M2" s="274"/>
      <c r="N2" s="274"/>
      <c r="O2" s="274"/>
      <c r="P2" s="274"/>
      <c r="Q2" s="275"/>
      <c r="S2">
        <v>1</v>
      </c>
    </row>
    <row r="3" spans="1:34">
      <c r="A3" s="273"/>
      <c r="B3" s="274"/>
      <c r="C3" s="274"/>
      <c r="D3" s="274"/>
      <c r="E3" s="274"/>
      <c r="F3" s="274"/>
      <c r="G3" s="274"/>
      <c r="H3" s="274"/>
      <c r="I3" s="274"/>
      <c r="J3" s="274"/>
      <c r="K3" s="274"/>
      <c r="L3" s="274"/>
      <c r="M3" s="274"/>
      <c r="N3" s="274"/>
      <c r="O3" s="274"/>
      <c r="P3" s="274"/>
      <c r="Q3" s="275"/>
    </row>
    <row r="4" spans="1:34" ht="15" thickBot="1">
      <c r="A4" s="276"/>
      <c r="B4" s="277"/>
      <c r="C4" s="277"/>
      <c r="D4" s="277"/>
      <c r="E4" s="277"/>
      <c r="F4" s="277"/>
      <c r="G4" s="277"/>
      <c r="H4" s="277"/>
      <c r="I4" s="277"/>
      <c r="J4" s="277"/>
      <c r="K4" s="277"/>
      <c r="L4" s="277"/>
      <c r="M4" s="277"/>
      <c r="N4" s="277"/>
      <c r="O4" s="277"/>
      <c r="P4" s="277"/>
      <c r="Q4" s="278"/>
    </row>
    <row r="5" spans="1:34">
      <c r="A5" s="90">
        <v>1</v>
      </c>
      <c r="B5" s="279" t="s">
        <v>240</v>
      </c>
      <c r="C5" s="266"/>
      <c r="D5" s="266"/>
      <c r="E5" s="266"/>
      <c r="F5" s="266"/>
      <c r="G5" s="266"/>
      <c r="H5" s="266"/>
      <c r="I5" s="266"/>
      <c r="J5" s="266"/>
      <c r="K5" s="266"/>
      <c r="L5" s="266"/>
      <c r="M5" s="266"/>
      <c r="N5" s="266"/>
      <c r="O5" s="266"/>
      <c r="P5" s="266"/>
      <c r="Q5" s="267"/>
    </row>
    <row r="6" spans="1:34">
      <c r="A6" s="91">
        <f>A5+1</f>
        <v>2</v>
      </c>
      <c r="B6" s="279" t="s">
        <v>241</v>
      </c>
      <c r="C6" s="266"/>
      <c r="D6" s="266"/>
      <c r="E6" s="266"/>
      <c r="F6" s="266"/>
      <c r="G6" s="266"/>
      <c r="H6" s="266"/>
      <c r="I6" s="266"/>
      <c r="J6" s="266"/>
      <c r="K6" s="266"/>
      <c r="L6" s="266"/>
      <c r="M6" s="266"/>
      <c r="N6" s="266"/>
      <c r="O6" s="266"/>
      <c r="P6" s="266"/>
      <c r="Q6" s="267"/>
    </row>
    <row r="7" spans="1:34">
      <c r="A7" s="91">
        <f t="shared" ref="A7:A42" si="0">A6+1</f>
        <v>3</v>
      </c>
      <c r="B7" s="266" t="s">
        <v>242</v>
      </c>
      <c r="C7" s="266"/>
      <c r="D7" s="266"/>
      <c r="E7" s="266"/>
      <c r="F7" s="266"/>
      <c r="G7" s="266"/>
      <c r="H7" s="266"/>
      <c r="I7" s="266"/>
      <c r="J7" s="266"/>
      <c r="K7" s="266"/>
      <c r="L7" s="266"/>
      <c r="M7" s="266"/>
      <c r="N7" s="266"/>
      <c r="O7" s="266"/>
      <c r="P7" s="266"/>
      <c r="Q7" s="267"/>
      <c r="Y7" s="35"/>
      <c r="Z7" s="35"/>
      <c r="AA7" s="35"/>
      <c r="AB7" s="35"/>
      <c r="AC7" s="35"/>
      <c r="AD7" s="35"/>
      <c r="AE7" s="35"/>
      <c r="AF7" s="35"/>
      <c r="AG7" s="35"/>
      <c r="AH7" s="35"/>
    </row>
    <row r="8" spans="1:34">
      <c r="A8" s="91">
        <f t="shared" si="0"/>
        <v>4</v>
      </c>
      <c r="B8" s="266" t="s">
        <v>247</v>
      </c>
      <c r="C8" s="266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6"/>
      <c r="O8" s="266"/>
      <c r="P8" s="266"/>
      <c r="Q8" s="267"/>
      <c r="Y8" s="35"/>
      <c r="Z8" s="35"/>
      <c r="AA8" s="35"/>
      <c r="AB8" s="35"/>
      <c r="AC8" s="35"/>
      <c r="AD8" s="35"/>
      <c r="AE8" s="35"/>
      <c r="AF8" s="35"/>
      <c r="AG8" s="35"/>
      <c r="AH8" s="35"/>
    </row>
    <row r="9" spans="1:34">
      <c r="A9" s="91">
        <f t="shared" si="0"/>
        <v>5</v>
      </c>
      <c r="B9" s="266"/>
      <c r="C9" s="266"/>
      <c r="D9" s="266"/>
      <c r="E9" s="266"/>
      <c r="F9" s="266"/>
      <c r="G9" s="266"/>
      <c r="H9" s="266"/>
      <c r="I9" s="266"/>
      <c r="J9" s="266"/>
      <c r="K9" s="266"/>
      <c r="L9" s="266"/>
      <c r="M9" s="266"/>
      <c r="N9" s="266"/>
      <c r="O9" s="266"/>
      <c r="P9" s="266"/>
      <c r="Q9" s="267"/>
      <c r="Y9" s="35"/>
      <c r="Z9" s="35"/>
      <c r="AA9" s="35"/>
      <c r="AB9" s="35"/>
      <c r="AC9" s="35"/>
      <c r="AD9" s="35"/>
      <c r="AE9" s="35"/>
      <c r="AF9" s="35"/>
      <c r="AG9" s="35"/>
      <c r="AH9" s="35"/>
    </row>
    <row r="10" spans="1:34">
      <c r="A10" s="91">
        <f t="shared" si="0"/>
        <v>6</v>
      </c>
      <c r="B10" s="266"/>
      <c r="C10" s="266"/>
      <c r="D10" s="266"/>
      <c r="E10" s="266"/>
      <c r="F10" s="266"/>
      <c r="G10" s="266"/>
      <c r="H10" s="266"/>
      <c r="I10" s="266"/>
      <c r="J10" s="266"/>
      <c r="K10" s="266"/>
      <c r="L10" s="266"/>
      <c r="M10" s="266"/>
      <c r="N10" s="266"/>
      <c r="O10" s="266"/>
      <c r="P10" s="266"/>
      <c r="Q10" s="267"/>
      <c r="Y10" s="35"/>
      <c r="Z10" s="35"/>
      <c r="AA10" s="35"/>
      <c r="AB10" s="35"/>
      <c r="AC10" s="35"/>
      <c r="AD10" s="35"/>
      <c r="AE10" s="35"/>
      <c r="AF10" s="35"/>
      <c r="AG10" s="35"/>
      <c r="AH10" s="35"/>
    </row>
    <row r="11" spans="1:34">
      <c r="A11" s="91">
        <f t="shared" si="0"/>
        <v>7</v>
      </c>
      <c r="B11" s="266"/>
      <c r="C11" s="266"/>
      <c r="D11" s="266"/>
      <c r="E11" s="266"/>
      <c r="F11" s="266"/>
      <c r="G11" s="266"/>
      <c r="H11" s="266"/>
      <c r="I11" s="266"/>
      <c r="J11" s="266"/>
      <c r="K11" s="266"/>
      <c r="L11" s="266"/>
      <c r="M11" s="266"/>
      <c r="N11" s="266"/>
      <c r="O11" s="266"/>
      <c r="P11" s="266"/>
      <c r="Q11" s="267"/>
      <c r="Y11" s="35"/>
      <c r="Z11" s="35"/>
      <c r="AA11" s="35"/>
      <c r="AB11" s="35"/>
      <c r="AC11" s="35"/>
      <c r="AD11" s="35"/>
      <c r="AE11" s="35"/>
      <c r="AF11" s="35"/>
      <c r="AG11" s="35"/>
      <c r="AH11" s="35"/>
    </row>
    <row r="12" spans="1:34">
      <c r="A12" s="91">
        <f t="shared" si="0"/>
        <v>8</v>
      </c>
      <c r="B12" s="266"/>
      <c r="C12" s="266"/>
      <c r="D12" s="266"/>
      <c r="E12" s="266"/>
      <c r="F12" s="266"/>
      <c r="G12" s="266"/>
      <c r="H12" s="266"/>
      <c r="I12" s="266"/>
      <c r="J12" s="266"/>
      <c r="K12" s="266"/>
      <c r="L12" s="266"/>
      <c r="M12" s="266"/>
      <c r="N12" s="266"/>
      <c r="O12" s="266"/>
      <c r="P12" s="266"/>
      <c r="Q12" s="267"/>
      <c r="Y12" s="35"/>
      <c r="Z12" s="35"/>
      <c r="AA12" s="35"/>
      <c r="AB12" s="35"/>
      <c r="AC12" s="35"/>
      <c r="AD12" s="35"/>
      <c r="AE12" s="35"/>
      <c r="AF12" s="35"/>
      <c r="AG12" s="35"/>
      <c r="AH12" s="35"/>
    </row>
    <row r="13" spans="1:34">
      <c r="A13" s="91">
        <f t="shared" si="0"/>
        <v>9</v>
      </c>
      <c r="B13" s="266"/>
      <c r="C13" s="266"/>
      <c r="D13" s="266"/>
      <c r="E13" s="266"/>
      <c r="F13" s="266"/>
      <c r="G13" s="266"/>
      <c r="H13" s="266"/>
      <c r="I13" s="266"/>
      <c r="J13" s="266"/>
      <c r="K13" s="266"/>
      <c r="L13" s="266"/>
      <c r="M13" s="266"/>
      <c r="N13" s="266"/>
      <c r="O13" s="266"/>
      <c r="P13" s="266"/>
      <c r="Q13" s="267"/>
      <c r="Y13" s="35"/>
      <c r="Z13" s="35"/>
      <c r="AA13" s="35"/>
      <c r="AB13" s="35"/>
      <c r="AC13" s="35"/>
      <c r="AD13" s="35"/>
      <c r="AE13" s="35"/>
      <c r="AF13" s="35"/>
      <c r="AG13" s="35"/>
      <c r="AH13" s="35"/>
    </row>
    <row r="14" spans="1:34">
      <c r="A14" s="91">
        <f t="shared" si="0"/>
        <v>10</v>
      </c>
      <c r="B14" s="266"/>
      <c r="C14" s="266"/>
      <c r="D14" s="266"/>
      <c r="E14" s="266"/>
      <c r="F14" s="266"/>
      <c r="G14" s="266"/>
      <c r="H14" s="266"/>
      <c r="I14" s="266"/>
      <c r="J14" s="266"/>
      <c r="K14" s="266"/>
      <c r="L14" s="266"/>
      <c r="M14" s="266"/>
      <c r="N14" s="266"/>
      <c r="O14" s="266"/>
      <c r="P14" s="266"/>
      <c r="Q14" s="267"/>
      <c r="Y14" s="35"/>
      <c r="Z14" s="35"/>
      <c r="AA14" s="35"/>
      <c r="AB14" s="35"/>
      <c r="AC14" s="35"/>
      <c r="AD14" s="35"/>
      <c r="AE14" s="35"/>
      <c r="AF14" s="35"/>
      <c r="AG14" s="35"/>
      <c r="AH14" s="35"/>
    </row>
    <row r="15" spans="1:34">
      <c r="A15" s="91">
        <f t="shared" si="0"/>
        <v>11</v>
      </c>
      <c r="B15" s="266"/>
      <c r="C15" s="266"/>
      <c r="D15" s="266"/>
      <c r="E15" s="266"/>
      <c r="F15" s="266"/>
      <c r="G15" s="266"/>
      <c r="H15" s="266"/>
      <c r="I15" s="266"/>
      <c r="J15" s="266"/>
      <c r="K15" s="266"/>
      <c r="L15" s="266"/>
      <c r="M15" s="266"/>
      <c r="N15" s="266"/>
      <c r="O15" s="266"/>
      <c r="P15" s="266"/>
      <c r="Q15" s="267"/>
      <c r="Y15" s="35"/>
      <c r="Z15" s="35"/>
      <c r="AA15" s="35"/>
      <c r="AB15" s="35"/>
      <c r="AC15" s="35"/>
      <c r="AD15" s="35"/>
      <c r="AE15" s="35"/>
      <c r="AF15" s="35"/>
      <c r="AG15" s="35"/>
      <c r="AH15" s="35"/>
    </row>
    <row r="16" spans="1:34">
      <c r="A16" s="91">
        <f t="shared" si="0"/>
        <v>12</v>
      </c>
      <c r="B16" s="266"/>
      <c r="C16" s="266"/>
      <c r="D16" s="266"/>
      <c r="E16" s="266"/>
      <c r="F16" s="266"/>
      <c r="G16" s="266"/>
      <c r="H16" s="266"/>
      <c r="I16" s="266"/>
      <c r="J16" s="266"/>
      <c r="K16" s="266"/>
      <c r="L16" s="266"/>
      <c r="M16" s="266"/>
      <c r="N16" s="266"/>
      <c r="O16" s="266"/>
      <c r="P16" s="266"/>
      <c r="Q16" s="267"/>
      <c r="Y16" s="35"/>
      <c r="Z16" s="35"/>
      <c r="AA16" s="35"/>
      <c r="AB16" s="35"/>
      <c r="AC16" s="35"/>
      <c r="AD16" s="35"/>
      <c r="AE16" s="35"/>
      <c r="AF16" s="35"/>
      <c r="AG16" s="35"/>
      <c r="AH16" s="35"/>
    </row>
    <row r="17" spans="1:34">
      <c r="A17" s="91">
        <f t="shared" si="0"/>
        <v>13</v>
      </c>
      <c r="B17" s="266"/>
      <c r="C17" s="266"/>
      <c r="D17" s="266"/>
      <c r="E17" s="266"/>
      <c r="F17" s="266"/>
      <c r="G17" s="266"/>
      <c r="H17" s="266"/>
      <c r="I17" s="266"/>
      <c r="J17" s="266"/>
      <c r="K17" s="266"/>
      <c r="L17" s="266"/>
      <c r="M17" s="266"/>
      <c r="N17" s="266"/>
      <c r="O17" s="266"/>
      <c r="P17" s="266"/>
      <c r="Q17" s="267"/>
      <c r="Y17" s="35"/>
      <c r="Z17" s="35"/>
      <c r="AA17" s="35"/>
      <c r="AB17" s="35"/>
      <c r="AC17" s="35"/>
      <c r="AD17" s="35"/>
      <c r="AE17" s="35"/>
      <c r="AF17" s="35"/>
      <c r="AG17" s="35"/>
      <c r="AH17" s="35"/>
    </row>
    <row r="18" spans="1:34">
      <c r="A18" s="91">
        <f t="shared" si="0"/>
        <v>14</v>
      </c>
      <c r="B18" s="266"/>
      <c r="C18" s="266"/>
      <c r="D18" s="266"/>
      <c r="E18" s="266"/>
      <c r="F18" s="266"/>
      <c r="G18" s="266"/>
      <c r="H18" s="266"/>
      <c r="I18" s="266"/>
      <c r="J18" s="266"/>
      <c r="K18" s="266"/>
      <c r="L18" s="266"/>
      <c r="M18" s="266"/>
      <c r="N18" s="266"/>
      <c r="O18" s="266"/>
      <c r="P18" s="266"/>
      <c r="Q18" s="267"/>
      <c r="Y18" s="35"/>
      <c r="Z18" s="35"/>
      <c r="AA18" s="35"/>
      <c r="AB18" s="35"/>
      <c r="AC18" s="35"/>
      <c r="AD18" s="35"/>
      <c r="AE18" s="35"/>
      <c r="AF18" s="35"/>
      <c r="AG18" s="35"/>
      <c r="AH18" s="35"/>
    </row>
    <row r="19" spans="1:34">
      <c r="A19" s="91">
        <f t="shared" si="0"/>
        <v>15</v>
      </c>
      <c r="B19" s="266"/>
      <c r="C19" s="266"/>
      <c r="D19" s="266"/>
      <c r="E19" s="266"/>
      <c r="F19" s="266"/>
      <c r="G19" s="266"/>
      <c r="H19" s="266"/>
      <c r="I19" s="266"/>
      <c r="J19" s="266"/>
      <c r="K19" s="266"/>
      <c r="L19" s="266"/>
      <c r="M19" s="266"/>
      <c r="N19" s="266"/>
      <c r="O19" s="266"/>
      <c r="P19" s="266"/>
      <c r="Q19" s="267"/>
      <c r="Y19" s="35"/>
      <c r="Z19" s="35"/>
      <c r="AA19" s="35"/>
      <c r="AB19" s="35"/>
      <c r="AC19" s="35"/>
      <c r="AD19" s="35"/>
      <c r="AE19" s="35"/>
      <c r="AF19" s="35"/>
      <c r="AG19" s="35"/>
      <c r="AH19" s="35"/>
    </row>
    <row r="20" spans="1:34">
      <c r="A20" s="91">
        <f t="shared" si="0"/>
        <v>16</v>
      </c>
      <c r="B20" s="266"/>
      <c r="C20" s="266"/>
      <c r="D20" s="266"/>
      <c r="E20" s="266"/>
      <c r="F20" s="266"/>
      <c r="G20" s="266"/>
      <c r="H20" s="266"/>
      <c r="I20" s="266"/>
      <c r="J20" s="266"/>
      <c r="K20" s="266"/>
      <c r="L20" s="266"/>
      <c r="M20" s="266"/>
      <c r="N20" s="266"/>
      <c r="O20" s="266"/>
      <c r="P20" s="266"/>
      <c r="Q20" s="267"/>
      <c r="Y20" s="35"/>
      <c r="Z20" s="35"/>
      <c r="AA20" s="35"/>
      <c r="AB20" s="35"/>
      <c r="AC20" s="35"/>
      <c r="AD20" s="35"/>
      <c r="AE20" s="35"/>
      <c r="AF20" s="35"/>
      <c r="AG20" s="35"/>
      <c r="AH20" s="35"/>
    </row>
    <row r="21" spans="1:34">
      <c r="A21" s="91">
        <f t="shared" si="0"/>
        <v>17</v>
      </c>
      <c r="B21" s="266"/>
      <c r="C21" s="266"/>
      <c r="D21" s="266"/>
      <c r="E21" s="266"/>
      <c r="F21" s="266"/>
      <c r="G21" s="266"/>
      <c r="H21" s="266"/>
      <c r="I21" s="266"/>
      <c r="J21" s="266"/>
      <c r="K21" s="266"/>
      <c r="L21" s="266"/>
      <c r="M21" s="266"/>
      <c r="N21" s="266"/>
      <c r="O21" s="266"/>
      <c r="P21" s="266"/>
      <c r="Q21" s="267"/>
      <c r="Y21" s="35"/>
      <c r="Z21" s="35"/>
      <c r="AA21" s="35"/>
      <c r="AB21" s="35"/>
      <c r="AC21" s="35"/>
      <c r="AD21" s="35"/>
      <c r="AE21" s="35"/>
      <c r="AF21" s="35"/>
      <c r="AG21" s="35"/>
      <c r="AH21" s="35"/>
    </row>
    <row r="22" spans="1:34">
      <c r="A22" s="91">
        <f t="shared" si="0"/>
        <v>18</v>
      </c>
      <c r="B22" s="266"/>
      <c r="C22" s="266"/>
      <c r="D22" s="266"/>
      <c r="E22" s="266"/>
      <c r="F22" s="266"/>
      <c r="G22" s="266"/>
      <c r="H22" s="266"/>
      <c r="I22" s="266"/>
      <c r="J22" s="266"/>
      <c r="K22" s="266"/>
      <c r="L22" s="266"/>
      <c r="M22" s="266"/>
      <c r="N22" s="266"/>
      <c r="O22" s="266"/>
      <c r="P22" s="266"/>
      <c r="Q22" s="267"/>
      <c r="Y22" s="35"/>
      <c r="Z22" s="35"/>
      <c r="AA22" s="35"/>
      <c r="AB22" s="35"/>
      <c r="AC22" s="35"/>
      <c r="AD22" s="35"/>
      <c r="AE22" s="35"/>
      <c r="AF22" s="35"/>
      <c r="AG22" s="35"/>
      <c r="AH22" s="35"/>
    </row>
    <row r="23" spans="1:34">
      <c r="A23" s="91">
        <f t="shared" si="0"/>
        <v>19</v>
      </c>
      <c r="B23" s="266"/>
      <c r="C23" s="266"/>
      <c r="D23" s="266"/>
      <c r="E23" s="266"/>
      <c r="F23" s="266"/>
      <c r="G23" s="266"/>
      <c r="H23" s="266"/>
      <c r="I23" s="266"/>
      <c r="J23" s="266"/>
      <c r="K23" s="266"/>
      <c r="L23" s="266"/>
      <c r="M23" s="266"/>
      <c r="N23" s="266"/>
      <c r="O23" s="266"/>
      <c r="P23" s="266"/>
      <c r="Q23" s="267"/>
      <c r="Y23" s="35"/>
      <c r="Z23" s="35"/>
      <c r="AA23" s="35"/>
      <c r="AB23" s="35"/>
      <c r="AC23" s="35"/>
      <c r="AD23" s="35"/>
      <c r="AE23" s="35"/>
      <c r="AF23" s="35"/>
      <c r="AG23" s="35"/>
      <c r="AH23" s="35"/>
    </row>
    <row r="24" spans="1:34">
      <c r="A24" s="91">
        <f t="shared" si="0"/>
        <v>20</v>
      </c>
      <c r="B24" s="266"/>
      <c r="C24" s="266"/>
      <c r="D24" s="266"/>
      <c r="E24" s="266"/>
      <c r="F24" s="266"/>
      <c r="G24" s="266"/>
      <c r="H24" s="266"/>
      <c r="I24" s="266"/>
      <c r="J24" s="266"/>
      <c r="K24" s="266"/>
      <c r="L24" s="266"/>
      <c r="M24" s="266"/>
      <c r="N24" s="266"/>
      <c r="O24" s="266"/>
      <c r="P24" s="266"/>
      <c r="Q24" s="267"/>
      <c r="Y24" s="35"/>
      <c r="Z24" s="35"/>
      <c r="AA24" s="35"/>
      <c r="AB24" s="35"/>
      <c r="AC24" s="35"/>
      <c r="AD24" s="35"/>
      <c r="AE24" s="35"/>
      <c r="AF24" s="35"/>
      <c r="AG24" s="35"/>
      <c r="AH24" s="35"/>
    </row>
    <row r="25" spans="1:34">
      <c r="A25" s="91">
        <f t="shared" si="0"/>
        <v>21</v>
      </c>
      <c r="B25" s="266"/>
      <c r="C25" s="266"/>
      <c r="D25" s="266"/>
      <c r="E25" s="266"/>
      <c r="F25" s="266"/>
      <c r="G25" s="266"/>
      <c r="H25" s="266"/>
      <c r="I25" s="266"/>
      <c r="J25" s="266"/>
      <c r="K25" s="266"/>
      <c r="L25" s="266"/>
      <c r="M25" s="266"/>
      <c r="N25" s="266"/>
      <c r="O25" s="266"/>
      <c r="P25" s="266"/>
      <c r="Q25" s="267"/>
      <c r="Y25" s="35"/>
      <c r="Z25" s="35"/>
      <c r="AA25" s="35"/>
      <c r="AB25" s="35"/>
      <c r="AC25" s="35"/>
      <c r="AD25" s="35"/>
      <c r="AE25" s="35"/>
      <c r="AF25" s="35"/>
      <c r="AG25" s="35"/>
      <c r="AH25" s="35"/>
    </row>
    <row r="26" spans="1:34">
      <c r="A26" s="91">
        <f t="shared" si="0"/>
        <v>22</v>
      </c>
      <c r="B26" s="266"/>
      <c r="C26" s="266"/>
      <c r="D26" s="266"/>
      <c r="E26" s="266"/>
      <c r="F26" s="266"/>
      <c r="G26" s="266"/>
      <c r="H26" s="266"/>
      <c r="I26" s="266"/>
      <c r="J26" s="266"/>
      <c r="K26" s="266"/>
      <c r="L26" s="266"/>
      <c r="M26" s="266"/>
      <c r="N26" s="266"/>
      <c r="O26" s="266"/>
      <c r="P26" s="266"/>
      <c r="Q26" s="267"/>
      <c r="Y26" s="35"/>
      <c r="Z26" s="35"/>
      <c r="AA26" s="35"/>
      <c r="AB26" s="35"/>
      <c r="AC26" s="35"/>
      <c r="AD26" s="35"/>
      <c r="AE26" s="35"/>
      <c r="AF26" s="35"/>
      <c r="AG26" s="35"/>
      <c r="AH26" s="35"/>
    </row>
    <row r="27" spans="1:34">
      <c r="A27" s="91">
        <f t="shared" si="0"/>
        <v>23</v>
      </c>
      <c r="B27" s="266"/>
      <c r="C27" s="266"/>
      <c r="D27" s="266"/>
      <c r="E27" s="266"/>
      <c r="F27" s="266"/>
      <c r="G27" s="266"/>
      <c r="H27" s="266"/>
      <c r="I27" s="266"/>
      <c r="J27" s="266"/>
      <c r="K27" s="266"/>
      <c r="L27" s="266"/>
      <c r="M27" s="266"/>
      <c r="N27" s="266"/>
      <c r="O27" s="266"/>
      <c r="P27" s="266"/>
      <c r="Q27" s="267"/>
      <c r="Y27" s="35"/>
      <c r="Z27" s="35"/>
      <c r="AA27" s="35"/>
      <c r="AB27" s="35"/>
      <c r="AC27" s="35"/>
      <c r="AD27" s="35"/>
      <c r="AE27" s="35"/>
      <c r="AF27" s="35"/>
      <c r="AG27" s="35"/>
      <c r="AH27" s="35"/>
    </row>
    <row r="28" spans="1:34">
      <c r="A28" s="91">
        <f t="shared" si="0"/>
        <v>24</v>
      </c>
      <c r="B28" s="266"/>
      <c r="C28" s="266"/>
      <c r="D28" s="266"/>
      <c r="E28" s="266"/>
      <c r="F28" s="266"/>
      <c r="G28" s="266"/>
      <c r="H28" s="266"/>
      <c r="I28" s="266"/>
      <c r="J28" s="266"/>
      <c r="K28" s="266"/>
      <c r="L28" s="266"/>
      <c r="M28" s="266"/>
      <c r="N28" s="266"/>
      <c r="O28" s="266"/>
      <c r="P28" s="266"/>
      <c r="Q28" s="267"/>
      <c r="Y28" s="35"/>
      <c r="Z28" s="35"/>
      <c r="AA28" s="35"/>
      <c r="AB28" s="35"/>
      <c r="AC28" s="35"/>
      <c r="AD28" s="35"/>
      <c r="AE28" s="35"/>
      <c r="AF28" s="35"/>
      <c r="AG28" s="35"/>
      <c r="AH28" s="35"/>
    </row>
    <row r="29" spans="1:34">
      <c r="A29" s="91">
        <f t="shared" si="0"/>
        <v>25</v>
      </c>
      <c r="B29" s="266"/>
      <c r="C29" s="266"/>
      <c r="D29" s="266"/>
      <c r="E29" s="266"/>
      <c r="F29" s="266"/>
      <c r="G29" s="266"/>
      <c r="H29" s="266"/>
      <c r="I29" s="266"/>
      <c r="J29" s="266"/>
      <c r="K29" s="266"/>
      <c r="L29" s="266"/>
      <c r="M29" s="266"/>
      <c r="N29" s="266"/>
      <c r="O29" s="266"/>
      <c r="P29" s="266"/>
      <c r="Q29" s="267"/>
      <c r="Y29" s="35"/>
      <c r="Z29" s="35"/>
      <c r="AA29" s="35"/>
      <c r="AB29" s="35"/>
      <c r="AC29" s="35"/>
      <c r="AD29" s="35"/>
      <c r="AE29" s="35"/>
      <c r="AF29" s="35"/>
      <c r="AG29" s="35"/>
      <c r="AH29" s="35"/>
    </row>
    <row r="30" spans="1:34">
      <c r="A30" s="91">
        <f t="shared" si="0"/>
        <v>26</v>
      </c>
      <c r="B30" s="266"/>
      <c r="C30" s="266"/>
      <c r="D30" s="266"/>
      <c r="E30" s="266"/>
      <c r="F30" s="266"/>
      <c r="G30" s="266"/>
      <c r="H30" s="266"/>
      <c r="I30" s="266"/>
      <c r="J30" s="266"/>
      <c r="K30" s="266"/>
      <c r="L30" s="266"/>
      <c r="M30" s="266"/>
      <c r="N30" s="266"/>
      <c r="O30" s="266"/>
      <c r="P30" s="266"/>
      <c r="Q30" s="267"/>
      <c r="Y30" s="35"/>
      <c r="Z30" s="35"/>
      <c r="AA30" s="35"/>
      <c r="AB30" s="35"/>
      <c r="AC30" s="35"/>
      <c r="AD30" s="35"/>
      <c r="AE30" s="35"/>
      <c r="AF30" s="35"/>
      <c r="AG30" s="35"/>
      <c r="AH30" s="35"/>
    </row>
    <row r="31" spans="1:34">
      <c r="A31" s="91">
        <f t="shared" si="0"/>
        <v>27</v>
      </c>
      <c r="B31" s="266"/>
      <c r="C31" s="266"/>
      <c r="D31" s="266"/>
      <c r="E31" s="266"/>
      <c r="F31" s="266"/>
      <c r="G31" s="266"/>
      <c r="H31" s="266"/>
      <c r="I31" s="266"/>
      <c r="J31" s="266"/>
      <c r="K31" s="266"/>
      <c r="L31" s="266"/>
      <c r="M31" s="266"/>
      <c r="N31" s="266"/>
      <c r="O31" s="266"/>
      <c r="P31" s="266"/>
      <c r="Q31" s="267"/>
      <c r="Y31" s="35"/>
      <c r="Z31" s="35"/>
      <c r="AA31" s="35"/>
      <c r="AB31" s="35"/>
      <c r="AC31" s="35"/>
      <c r="AD31" s="35"/>
      <c r="AE31" s="35"/>
      <c r="AF31" s="35"/>
      <c r="AG31" s="35"/>
      <c r="AH31" s="35"/>
    </row>
    <row r="32" spans="1:34">
      <c r="A32" s="91">
        <f t="shared" si="0"/>
        <v>28</v>
      </c>
      <c r="B32" s="266"/>
      <c r="C32" s="266"/>
      <c r="D32" s="266"/>
      <c r="E32" s="266"/>
      <c r="F32" s="266"/>
      <c r="G32" s="266"/>
      <c r="H32" s="266"/>
      <c r="I32" s="266"/>
      <c r="J32" s="266"/>
      <c r="K32" s="266"/>
      <c r="L32" s="266"/>
      <c r="M32" s="266"/>
      <c r="N32" s="266"/>
      <c r="O32" s="266"/>
      <c r="P32" s="266"/>
      <c r="Q32" s="267"/>
      <c r="Y32" s="35"/>
      <c r="Z32" s="35"/>
      <c r="AA32" s="35"/>
      <c r="AB32" s="35"/>
      <c r="AC32" s="35"/>
      <c r="AD32" s="35"/>
      <c r="AE32" s="35"/>
      <c r="AF32" s="35"/>
      <c r="AG32" s="35"/>
      <c r="AH32" s="35"/>
    </row>
    <row r="33" spans="1:34">
      <c r="A33" s="91">
        <f t="shared" si="0"/>
        <v>29</v>
      </c>
      <c r="B33" s="266"/>
      <c r="C33" s="266"/>
      <c r="D33" s="266"/>
      <c r="E33" s="266"/>
      <c r="F33" s="266"/>
      <c r="G33" s="266"/>
      <c r="H33" s="266"/>
      <c r="I33" s="266"/>
      <c r="J33" s="266"/>
      <c r="K33" s="266"/>
      <c r="L33" s="266"/>
      <c r="M33" s="266"/>
      <c r="N33" s="266"/>
      <c r="O33" s="266"/>
      <c r="P33" s="266"/>
      <c r="Q33" s="267"/>
      <c r="Y33" s="35"/>
      <c r="Z33" s="35"/>
      <c r="AA33" s="35"/>
      <c r="AB33" s="35"/>
      <c r="AC33" s="35"/>
      <c r="AD33" s="35"/>
      <c r="AE33" s="35"/>
      <c r="AF33" s="35"/>
      <c r="AG33" s="35"/>
      <c r="AH33" s="35"/>
    </row>
    <row r="34" spans="1:34">
      <c r="A34" s="91">
        <f t="shared" si="0"/>
        <v>30</v>
      </c>
      <c r="B34" s="266"/>
      <c r="C34" s="266"/>
      <c r="D34" s="266"/>
      <c r="E34" s="266"/>
      <c r="F34" s="266"/>
      <c r="G34" s="266"/>
      <c r="H34" s="266"/>
      <c r="I34" s="266"/>
      <c r="J34" s="266"/>
      <c r="K34" s="266"/>
      <c r="L34" s="266"/>
      <c r="M34" s="266"/>
      <c r="N34" s="266"/>
      <c r="O34" s="266"/>
      <c r="P34" s="266"/>
      <c r="Q34" s="267"/>
      <c r="Y34" s="35"/>
      <c r="Z34" s="35"/>
      <c r="AA34" s="35"/>
      <c r="AB34" s="35"/>
      <c r="AC34" s="35"/>
      <c r="AD34" s="35"/>
      <c r="AE34" s="35"/>
      <c r="AF34" s="35"/>
      <c r="AG34" s="35"/>
      <c r="AH34" s="35"/>
    </row>
    <row r="35" spans="1:34">
      <c r="A35" s="91">
        <f t="shared" si="0"/>
        <v>31</v>
      </c>
      <c r="B35" s="266"/>
      <c r="C35" s="266"/>
      <c r="D35" s="266"/>
      <c r="E35" s="266"/>
      <c r="F35" s="266"/>
      <c r="G35" s="266"/>
      <c r="H35" s="266"/>
      <c r="I35" s="266"/>
      <c r="J35" s="266"/>
      <c r="K35" s="266"/>
      <c r="L35" s="266"/>
      <c r="M35" s="266"/>
      <c r="N35" s="266"/>
      <c r="O35" s="266"/>
      <c r="P35" s="266"/>
      <c r="Q35" s="267"/>
      <c r="Y35" s="35"/>
      <c r="Z35" s="35"/>
      <c r="AA35" s="35"/>
      <c r="AB35" s="35"/>
      <c r="AC35" s="35"/>
      <c r="AD35" s="35"/>
      <c r="AE35" s="35"/>
      <c r="AF35" s="35"/>
      <c r="AG35" s="35"/>
      <c r="AH35" s="35"/>
    </row>
    <row r="36" spans="1:34">
      <c r="A36" s="91">
        <f t="shared" si="0"/>
        <v>32</v>
      </c>
      <c r="B36" s="266"/>
      <c r="C36" s="266"/>
      <c r="D36" s="266"/>
      <c r="E36" s="266"/>
      <c r="F36" s="266"/>
      <c r="G36" s="266"/>
      <c r="H36" s="266"/>
      <c r="I36" s="266"/>
      <c r="J36" s="266"/>
      <c r="K36" s="266"/>
      <c r="L36" s="266"/>
      <c r="M36" s="266"/>
      <c r="N36" s="266"/>
      <c r="O36" s="266"/>
      <c r="P36" s="266"/>
      <c r="Q36" s="267"/>
      <c r="Y36" s="35"/>
      <c r="Z36" s="35"/>
      <c r="AA36" s="35"/>
      <c r="AB36" s="35"/>
      <c r="AC36" s="35"/>
      <c r="AD36" s="35"/>
      <c r="AE36" s="35"/>
      <c r="AF36" s="35"/>
      <c r="AG36" s="35"/>
      <c r="AH36" s="35"/>
    </row>
    <row r="37" spans="1:34">
      <c r="A37" s="91">
        <f t="shared" si="0"/>
        <v>33</v>
      </c>
      <c r="B37" s="266"/>
      <c r="C37" s="266"/>
      <c r="D37" s="266"/>
      <c r="E37" s="266"/>
      <c r="F37" s="266"/>
      <c r="G37" s="266"/>
      <c r="H37" s="266"/>
      <c r="I37" s="266"/>
      <c r="J37" s="266"/>
      <c r="K37" s="266"/>
      <c r="L37" s="266"/>
      <c r="M37" s="266"/>
      <c r="N37" s="266"/>
      <c r="O37" s="266"/>
      <c r="P37" s="266"/>
      <c r="Q37" s="267"/>
      <c r="Y37" s="35"/>
      <c r="Z37" s="35"/>
      <c r="AA37" s="35"/>
      <c r="AB37" s="35"/>
      <c r="AC37" s="35"/>
      <c r="AD37" s="35"/>
      <c r="AE37" s="35"/>
      <c r="AF37" s="35"/>
      <c r="AG37" s="35"/>
      <c r="AH37" s="35"/>
    </row>
    <row r="38" spans="1:34">
      <c r="A38" s="91">
        <f t="shared" si="0"/>
        <v>34</v>
      </c>
      <c r="B38" s="266"/>
      <c r="C38" s="266"/>
      <c r="D38" s="266"/>
      <c r="E38" s="266"/>
      <c r="F38" s="266"/>
      <c r="G38" s="266"/>
      <c r="H38" s="266"/>
      <c r="I38" s="266"/>
      <c r="J38" s="266"/>
      <c r="K38" s="266"/>
      <c r="L38" s="266"/>
      <c r="M38" s="266"/>
      <c r="N38" s="266"/>
      <c r="O38" s="266"/>
      <c r="P38" s="266"/>
      <c r="Q38" s="267"/>
      <c r="S38">
        <v>2</v>
      </c>
      <c r="Y38" s="35"/>
      <c r="Z38" s="35"/>
      <c r="AA38" s="35"/>
      <c r="AB38" s="35"/>
      <c r="AC38" s="35"/>
      <c r="AD38" s="35"/>
      <c r="AE38" s="35"/>
      <c r="AF38" s="35"/>
      <c r="AG38" s="35"/>
      <c r="AH38" s="35"/>
    </row>
    <row r="39" spans="1:34">
      <c r="A39" s="91">
        <f t="shared" si="0"/>
        <v>35</v>
      </c>
      <c r="B39" s="266"/>
      <c r="C39" s="266"/>
      <c r="D39" s="266"/>
      <c r="E39" s="266"/>
      <c r="F39" s="266"/>
      <c r="G39" s="266"/>
      <c r="H39" s="266"/>
      <c r="I39" s="266"/>
      <c r="J39" s="266"/>
      <c r="K39" s="266"/>
      <c r="L39" s="266"/>
      <c r="M39" s="266"/>
      <c r="N39" s="266"/>
      <c r="O39" s="266"/>
      <c r="P39" s="266"/>
      <c r="Q39" s="267"/>
      <c r="Y39" s="35"/>
      <c r="Z39" s="35"/>
      <c r="AA39" s="35"/>
      <c r="AB39" s="35"/>
      <c r="AC39" s="35"/>
      <c r="AD39" s="35"/>
      <c r="AE39" s="35"/>
      <c r="AF39" s="35"/>
      <c r="AG39" s="35"/>
      <c r="AH39" s="35"/>
    </row>
    <row r="40" spans="1:34">
      <c r="A40" s="91">
        <f t="shared" si="0"/>
        <v>36</v>
      </c>
      <c r="B40" s="266"/>
      <c r="C40" s="266"/>
      <c r="D40" s="266"/>
      <c r="E40" s="266"/>
      <c r="F40" s="266"/>
      <c r="G40" s="266"/>
      <c r="H40" s="266"/>
      <c r="I40" s="266"/>
      <c r="J40" s="266"/>
      <c r="K40" s="266"/>
      <c r="L40" s="266"/>
      <c r="M40" s="266"/>
      <c r="N40" s="266"/>
      <c r="O40" s="266"/>
      <c r="P40" s="266"/>
      <c r="Q40" s="267"/>
      <c r="Y40" s="35"/>
      <c r="Z40" s="35"/>
      <c r="AA40" s="35"/>
      <c r="AB40" s="35"/>
      <c r="AC40" s="35"/>
      <c r="AD40" s="35"/>
      <c r="AE40" s="35"/>
      <c r="AF40" s="35"/>
      <c r="AG40" s="35"/>
      <c r="AH40" s="35"/>
    </row>
    <row r="41" spans="1:34">
      <c r="A41" s="91">
        <f t="shared" si="0"/>
        <v>37</v>
      </c>
      <c r="B41" s="266"/>
      <c r="C41" s="266"/>
      <c r="D41" s="266"/>
      <c r="E41" s="266"/>
      <c r="F41" s="266"/>
      <c r="G41" s="266"/>
      <c r="H41" s="266"/>
      <c r="I41" s="266"/>
      <c r="J41" s="266"/>
      <c r="K41" s="266"/>
      <c r="L41" s="266"/>
      <c r="M41" s="266"/>
      <c r="N41" s="266"/>
      <c r="O41" s="266"/>
      <c r="P41" s="266"/>
      <c r="Q41" s="267"/>
      <c r="Y41" s="35"/>
      <c r="Z41" s="35"/>
      <c r="AA41" s="35"/>
      <c r="AB41" s="35"/>
      <c r="AC41" s="35"/>
      <c r="AD41" s="35"/>
      <c r="AE41" s="35"/>
      <c r="AF41" s="35"/>
      <c r="AG41" s="35"/>
      <c r="AH41" s="35"/>
    </row>
    <row r="42" spans="1:34" ht="15" thickBot="1">
      <c r="A42" s="92">
        <f t="shared" si="0"/>
        <v>38</v>
      </c>
      <c r="B42" s="268"/>
      <c r="C42" s="268"/>
      <c r="D42" s="268"/>
      <c r="E42" s="268"/>
      <c r="F42" s="268"/>
      <c r="G42" s="268"/>
      <c r="H42" s="268"/>
      <c r="I42" s="268"/>
      <c r="J42" s="268"/>
      <c r="K42" s="268"/>
      <c r="L42" s="268"/>
      <c r="M42" s="268"/>
      <c r="N42" s="268"/>
      <c r="O42" s="268"/>
      <c r="P42" s="268"/>
      <c r="Q42" s="269"/>
      <c r="Y42" s="35"/>
      <c r="Z42" s="35"/>
      <c r="AA42" s="35"/>
      <c r="AB42" s="35"/>
      <c r="AC42" s="35"/>
      <c r="AD42" s="35"/>
      <c r="AE42" s="35"/>
      <c r="AF42" s="35"/>
      <c r="AG42" s="35"/>
      <c r="AH42" s="35"/>
    </row>
    <row r="43" spans="1:34">
      <c r="Y43" s="35"/>
      <c r="Z43" s="35"/>
      <c r="AA43" s="35"/>
      <c r="AB43" s="35"/>
      <c r="AC43" s="35"/>
      <c r="AD43" s="35"/>
      <c r="AE43" s="35"/>
      <c r="AF43" s="35"/>
      <c r="AG43" s="35"/>
      <c r="AH43" s="35"/>
    </row>
    <row r="44" spans="1:34">
      <c r="Y44" s="35"/>
      <c r="Z44" s="35"/>
      <c r="AA44" s="35"/>
      <c r="AB44" s="35"/>
      <c r="AC44" s="35"/>
      <c r="AD44" s="35"/>
      <c r="AE44" s="35"/>
      <c r="AF44" s="35"/>
      <c r="AG44" s="35"/>
      <c r="AH44" s="35"/>
    </row>
    <row r="45" spans="1:34">
      <c r="Y45" s="35"/>
      <c r="Z45" s="35"/>
      <c r="AA45" s="35"/>
      <c r="AB45" s="35"/>
      <c r="AC45" s="35"/>
      <c r="AD45" s="35"/>
      <c r="AE45" s="35"/>
      <c r="AF45" s="35"/>
      <c r="AG45" s="35"/>
      <c r="AH45" s="35"/>
    </row>
    <row r="73" spans="19:19">
      <c r="S73">
        <v>4</v>
      </c>
    </row>
    <row r="90" spans="19:19">
      <c r="S90">
        <v>5</v>
      </c>
    </row>
  </sheetData>
  <mergeCells count="39">
    <mergeCell ref="A1:Q4"/>
    <mergeCell ref="B5:Q5"/>
    <mergeCell ref="B6:Q6"/>
    <mergeCell ref="B7:Q7"/>
    <mergeCell ref="B8:Q8"/>
    <mergeCell ref="B9:Q9"/>
    <mergeCell ref="B10:Q10"/>
    <mergeCell ref="B11:Q11"/>
    <mergeCell ref="B12:Q12"/>
    <mergeCell ref="B13:Q13"/>
    <mergeCell ref="B14:Q14"/>
    <mergeCell ref="B15:Q15"/>
    <mergeCell ref="B16:Q16"/>
    <mergeCell ref="B17:Q17"/>
    <mergeCell ref="B18:Q18"/>
    <mergeCell ref="B19:Q19"/>
    <mergeCell ref="B20:Q20"/>
    <mergeCell ref="B21:Q21"/>
    <mergeCell ref="B22:Q22"/>
    <mergeCell ref="B23:Q23"/>
    <mergeCell ref="B24:Q24"/>
    <mergeCell ref="B25:Q25"/>
    <mergeCell ref="B26:Q26"/>
    <mergeCell ref="B27:Q27"/>
    <mergeCell ref="B28:Q28"/>
    <mergeCell ref="B29:Q29"/>
    <mergeCell ref="B30:Q30"/>
    <mergeCell ref="B31:Q31"/>
    <mergeCell ref="B32:Q32"/>
    <mergeCell ref="B33:Q33"/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11" t="s">
        <v>8</v>
      </c>
      <c r="K1" s="211"/>
      <c r="L1" s="211"/>
      <c r="M1" s="211"/>
      <c r="N1" s="211"/>
      <c r="O1" s="211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11"/>
      <c r="K2" s="211"/>
      <c r="L2" s="211"/>
      <c r="M2" s="211"/>
      <c r="N2" s="211"/>
      <c r="O2" s="211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11"/>
      <c r="K3" s="211"/>
      <c r="L3" s="211"/>
      <c r="M3" s="211"/>
      <c r="N3" s="211"/>
      <c r="O3" s="211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11"/>
      <c r="K4" s="211"/>
      <c r="L4" s="211"/>
      <c r="M4" s="211"/>
      <c r="N4" s="211"/>
      <c r="O4" s="211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77</v>
      </c>
      <c r="BE5" s="99"/>
    </row>
    <row r="6" spans="4:108" ht="14.25" customHeight="1">
      <c r="E6" s="25" t="s">
        <v>176</v>
      </c>
      <c r="AC6" s="104"/>
      <c r="AD6" s="25" t="s">
        <v>176</v>
      </c>
    </row>
    <row r="7" spans="4:108" ht="14.25" customHeight="1">
      <c r="F7" s="108"/>
      <c r="G7" s="25" t="s">
        <v>178</v>
      </c>
      <c r="AC7" s="104"/>
    </row>
    <row r="8" spans="4:108">
      <c r="G8" s="25" t="s">
        <v>192</v>
      </c>
      <c r="AC8" s="102"/>
      <c r="AD8" s="25" t="s">
        <v>153</v>
      </c>
      <c r="BF8" s="25" t="s">
        <v>130</v>
      </c>
    </row>
    <row r="9" spans="4:108">
      <c r="G9" s="25" t="s">
        <v>193</v>
      </c>
      <c r="AC9" s="102"/>
      <c r="AD9" s="25" t="s">
        <v>180</v>
      </c>
    </row>
    <row r="10" spans="4:108">
      <c r="AC10" s="102"/>
      <c r="AD10" s="25" t="s">
        <v>177</v>
      </c>
    </row>
    <row r="11" spans="4:108">
      <c r="G11" s="25" t="s">
        <v>133</v>
      </c>
      <c r="AC11" s="102"/>
      <c r="AD11" s="25" t="s">
        <v>179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181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173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191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9"/>
  <sheetViews>
    <sheetView zoomScaleNormal="100" workbookViewId="0">
      <selection activeCell="BX36" sqref="BX36"/>
    </sheetView>
  </sheetViews>
  <sheetFormatPr defaultRowHeight="14.25"/>
  <cols>
    <col min="1" max="1" width="9" style="156"/>
    <col min="2" max="23" width="9" style="25"/>
    <col min="24" max="28" width="9.375" style="25" customWidth="1"/>
    <col min="29" max="29" width="9" style="156"/>
    <col min="30" max="55" width="9" style="25"/>
    <col min="56" max="56" width="9" style="156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11" t="s">
        <v>8</v>
      </c>
      <c r="K1" s="211"/>
      <c r="L1" s="211"/>
      <c r="M1" s="211"/>
      <c r="N1" s="211"/>
      <c r="O1" s="211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11" t="s">
        <v>8</v>
      </c>
      <c r="AK1" s="211"/>
      <c r="AL1" s="211"/>
      <c r="AM1" s="211"/>
      <c r="AN1" s="211"/>
      <c r="AO1" s="211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11" t="s">
        <v>8</v>
      </c>
      <c r="BK1" s="211"/>
      <c r="BL1" s="211"/>
      <c r="BM1" s="211"/>
      <c r="BN1" s="211"/>
      <c r="BO1" s="211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11"/>
      <c r="K2" s="211"/>
      <c r="L2" s="211"/>
      <c r="M2" s="211"/>
      <c r="N2" s="211"/>
      <c r="O2" s="211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11"/>
      <c r="AK2" s="211"/>
      <c r="AL2" s="211"/>
      <c r="AM2" s="211"/>
      <c r="AN2" s="211"/>
      <c r="AO2" s="211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11"/>
      <c r="BK2" s="211"/>
      <c r="BL2" s="211"/>
      <c r="BM2" s="211"/>
      <c r="BN2" s="211"/>
      <c r="BO2" s="211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11"/>
      <c r="K3" s="211"/>
      <c r="L3" s="211"/>
      <c r="M3" s="211"/>
      <c r="N3" s="211"/>
      <c r="O3" s="211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11"/>
      <c r="AK3" s="211"/>
      <c r="AL3" s="211"/>
      <c r="AM3" s="211"/>
      <c r="AN3" s="211"/>
      <c r="AO3" s="211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11"/>
      <c r="BK3" s="211"/>
      <c r="BL3" s="211"/>
      <c r="BM3" s="211"/>
      <c r="BN3" s="211"/>
      <c r="BO3" s="211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11"/>
      <c r="K4" s="211"/>
      <c r="L4" s="211"/>
      <c r="M4" s="211"/>
      <c r="N4" s="211"/>
      <c r="O4" s="211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11"/>
      <c r="AK4" s="211"/>
      <c r="AL4" s="211"/>
      <c r="AM4" s="211"/>
      <c r="AN4" s="211"/>
      <c r="AO4" s="211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11"/>
      <c r="BK4" s="211"/>
      <c r="BL4" s="211"/>
      <c r="BM4" s="211"/>
      <c r="BN4" s="211"/>
      <c r="BO4" s="211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7" t="s">
        <v>77</v>
      </c>
      <c r="BF5" s="158"/>
    </row>
    <row r="6" spans="1:108" ht="14.25" customHeight="1">
      <c r="B6" s="25" t="s">
        <v>176</v>
      </c>
      <c r="AD6" s="25" t="s">
        <v>176</v>
      </c>
      <c r="BE6" s="25" t="s">
        <v>176</v>
      </c>
    </row>
    <row r="7" spans="1:108" ht="14.25" customHeight="1">
      <c r="F7" s="108"/>
      <c r="AF7" s="25" t="s">
        <v>239</v>
      </c>
      <c r="BG7" s="25" t="s">
        <v>239</v>
      </c>
    </row>
    <row r="8" spans="1:108">
      <c r="E8" s="25" t="s">
        <v>419</v>
      </c>
    </row>
    <row r="52" spans="5:30">
      <c r="O52" s="25" t="s">
        <v>442</v>
      </c>
      <c r="AD52" s="25" t="s">
        <v>442</v>
      </c>
    </row>
    <row r="57" spans="5:30">
      <c r="O57" s="25" t="s">
        <v>442</v>
      </c>
    </row>
    <row r="58" spans="5:30">
      <c r="E58" s="25" t="s">
        <v>420</v>
      </c>
    </row>
    <row r="59" spans="5:30">
      <c r="E59" s="25" t="s">
        <v>421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B1" zoomScale="115" zoomScaleNormal="115" workbookViewId="0">
      <selection activeCell="T41" sqref="T41"/>
    </sheetView>
  </sheetViews>
  <sheetFormatPr defaultRowHeight="14.25"/>
  <sheetData>
    <row r="1" spans="1:22">
      <c r="A1" s="141"/>
      <c r="B1" s="141"/>
      <c r="C1" s="141"/>
      <c r="D1" s="141"/>
      <c r="E1" s="212" t="s">
        <v>10</v>
      </c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2"/>
      <c r="Q1" s="212"/>
      <c r="R1" s="212"/>
      <c r="S1" s="212"/>
      <c r="T1" s="141"/>
      <c r="U1" s="141"/>
      <c r="V1" s="141"/>
    </row>
    <row r="2" spans="1:22">
      <c r="A2" s="141"/>
      <c r="B2" s="141"/>
      <c r="C2" s="141"/>
      <c r="D2" s="141"/>
      <c r="E2" s="212"/>
      <c r="F2" s="212"/>
      <c r="G2" s="212"/>
      <c r="H2" s="212"/>
      <c r="I2" s="212"/>
      <c r="J2" s="212"/>
      <c r="K2" s="212"/>
      <c r="L2" s="212"/>
      <c r="M2" s="212"/>
      <c r="N2" s="212"/>
      <c r="O2" s="212"/>
      <c r="P2" s="212"/>
      <c r="Q2" s="212"/>
      <c r="R2" s="212"/>
      <c r="S2" s="212"/>
      <c r="T2" s="141"/>
      <c r="U2" s="141"/>
      <c r="V2" s="141"/>
    </row>
    <row r="3" spans="1:22">
      <c r="A3" s="141"/>
      <c r="B3" s="141"/>
      <c r="C3" s="141"/>
      <c r="D3" s="141"/>
      <c r="E3" s="212"/>
      <c r="F3" s="212"/>
      <c r="G3" s="212"/>
      <c r="H3" s="212"/>
      <c r="I3" s="212"/>
      <c r="J3" s="212"/>
      <c r="K3" s="212"/>
      <c r="L3" s="212"/>
      <c r="M3" s="212"/>
      <c r="N3" s="212"/>
      <c r="O3" s="212"/>
      <c r="P3" s="212"/>
      <c r="Q3" s="212"/>
      <c r="R3" s="212"/>
      <c r="S3" s="212"/>
      <c r="T3" s="141"/>
      <c r="U3" s="141"/>
      <c r="V3" s="141"/>
    </row>
    <row r="4" spans="1:22">
      <c r="A4" s="141"/>
      <c r="B4" s="141"/>
      <c r="C4" s="141"/>
      <c r="D4" s="141"/>
      <c r="E4" s="212"/>
      <c r="F4" s="212"/>
      <c r="G4" s="212"/>
      <c r="H4" s="212"/>
      <c r="I4" s="212"/>
      <c r="J4" s="212"/>
      <c r="K4" s="212"/>
      <c r="L4" s="212"/>
      <c r="M4" s="212"/>
      <c r="N4" s="212"/>
      <c r="O4" s="212"/>
      <c r="P4" s="212"/>
      <c r="Q4" s="212"/>
      <c r="R4" s="212"/>
      <c r="S4" s="212"/>
      <c r="T4" s="141"/>
      <c r="U4" s="141"/>
      <c r="V4" s="141"/>
    </row>
    <row r="5" spans="1:22">
      <c r="I5" s="8"/>
    </row>
    <row r="17" spans="20:20">
      <c r="T17" t="s">
        <v>175</v>
      </c>
    </row>
    <row r="18" spans="20:20">
      <c r="T18" t="s">
        <v>119</v>
      </c>
    </row>
    <row r="19" spans="20:20">
      <c r="T19" t="s">
        <v>443</v>
      </c>
    </row>
    <row r="25" spans="20:20">
      <c r="T25" t="s">
        <v>175</v>
      </c>
    </row>
    <row r="26" spans="20:20">
      <c r="T26" t="s">
        <v>119</v>
      </c>
    </row>
    <row r="27" spans="20:20">
      <c r="T27" t="s">
        <v>443</v>
      </c>
    </row>
    <row r="32" spans="20:20">
      <c r="T32" t="s">
        <v>175</v>
      </c>
    </row>
    <row r="33" spans="20:20">
      <c r="T33" t="s">
        <v>119</v>
      </c>
    </row>
    <row r="34" spans="20:20">
      <c r="T34" t="s">
        <v>443</v>
      </c>
    </row>
    <row r="44" spans="20:20">
      <c r="T44" t="s">
        <v>416</v>
      </c>
    </row>
    <row r="46" spans="20:20">
      <c r="T46" t="s">
        <v>422</v>
      </c>
    </row>
    <row r="47" spans="20:20">
      <c r="T47" t="s">
        <v>423</v>
      </c>
    </row>
    <row r="48" spans="20:20">
      <c r="T48" t="s">
        <v>418</v>
      </c>
    </row>
    <row r="49" spans="7:20">
      <c r="T49" t="s">
        <v>417</v>
      </c>
    </row>
    <row r="51" spans="7:20">
      <c r="T51" t="s">
        <v>444</v>
      </c>
    </row>
    <row r="57" spans="7:20">
      <c r="G57" t="s">
        <v>175</v>
      </c>
      <c r="J57" t="s">
        <v>175</v>
      </c>
      <c r="M57" t="s">
        <v>175</v>
      </c>
    </row>
    <row r="58" spans="7:20">
      <c r="G58" t="s">
        <v>119</v>
      </c>
      <c r="J58" t="s">
        <v>119</v>
      </c>
      <c r="M58" t="s">
        <v>119</v>
      </c>
    </row>
    <row r="69" spans="20:20">
      <c r="T69" t="s">
        <v>175</v>
      </c>
    </row>
    <row r="70" spans="20:20">
      <c r="T70" t="s">
        <v>119</v>
      </c>
    </row>
    <row r="76" spans="20:20">
      <c r="T76" t="s">
        <v>175</v>
      </c>
    </row>
    <row r="77" spans="20:20">
      <c r="T77" t="s">
        <v>119</v>
      </c>
    </row>
    <row r="83" spans="20:20">
      <c r="T83" t="s">
        <v>175</v>
      </c>
    </row>
    <row r="84" spans="20:20">
      <c r="T84" t="s">
        <v>119</v>
      </c>
    </row>
    <row r="97" spans="7:20">
      <c r="T97" t="s">
        <v>416</v>
      </c>
    </row>
    <row r="98" spans="7:20">
      <c r="T98" t="s">
        <v>422</v>
      </c>
    </row>
    <row r="99" spans="7:20">
      <c r="T99" t="s">
        <v>423</v>
      </c>
    </row>
    <row r="110" spans="7:20">
      <c r="G110" t="s">
        <v>175</v>
      </c>
      <c r="J110" t="s">
        <v>175</v>
      </c>
      <c r="M110" t="s">
        <v>175</v>
      </c>
    </row>
    <row r="111" spans="7:20">
      <c r="G111" t="s">
        <v>119</v>
      </c>
      <c r="J111" t="s">
        <v>119</v>
      </c>
      <c r="M111" t="s">
        <v>119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D654"/>
  <sheetViews>
    <sheetView tabSelected="1" zoomScale="130" zoomScaleNormal="130" workbookViewId="0">
      <selection activeCell="F14" sqref="F14"/>
    </sheetView>
  </sheetViews>
  <sheetFormatPr defaultRowHeight="14.25"/>
  <cols>
    <col min="1" max="16384" width="9" style="52"/>
  </cols>
  <sheetData>
    <row r="1" spans="1:30">
      <c r="A1" s="213" t="s">
        <v>48</v>
      </c>
      <c r="B1" s="213"/>
      <c r="C1" s="213"/>
      <c r="D1" s="213"/>
      <c r="E1" s="213"/>
      <c r="F1" s="213"/>
      <c r="G1" s="213"/>
      <c r="H1" s="213"/>
      <c r="I1" s="213"/>
      <c r="J1" s="213"/>
      <c r="K1" s="213"/>
      <c r="L1" s="213"/>
      <c r="M1" s="213"/>
      <c r="N1" s="213"/>
      <c r="O1" s="213"/>
      <c r="P1" s="213"/>
      <c r="Q1" s="213"/>
      <c r="R1" s="213"/>
      <c r="S1" s="213"/>
      <c r="T1" s="213"/>
      <c r="U1" s="213"/>
      <c r="V1" s="213"/>
      <c r="W1" s="213"/>
      <c r="X1" s="213"/>
      <c r="Y1" s="213"/>
      <c r="Z1" s="213"/>
      <c r="AA1" s="213"/>
      <c r="AB1" s="213"/>
      <c r="AC1" s="213"/>
      <c r="AD1" s="213"/>
    </row>
    <row r="2" spans="1:30">
      <c r="A2" s="213"/>
      <c r="B2" s="213"/>
      <c r="C2" s="213"/>
      <c r="D2" s="213"/>
      <c r="E2" s="213"/>
      <c r="F2" s="213"/>
      <c r="G2" s="213"/>
      <c r="H2" s="213"/>
      <c r="I2" s="213"/>
      <c r="J2" s="213"/>
      <c r="K2" s="213"/>
      <c r="L2" s="213"/>
      <c r="M2" s="213"/>
      <c r="N2" s="213"/>
      <c r="O2" s="213"/>
      <c r="P2" s="213"/>
      <c r="Q2" s="213"/>
      <c r="R2" s="213"/>
      <c r="S2" s="213"/>
      <c r="T2" s="213"/>
      <c r="U2" s="213"/>
      <c r="V2" s="213"/>
      <c r="W2" s="213"/>
      <c r="X2" s="213"/>
      <c r="Y2" s="213"/>
      <c r="Z2" s="213"/>
      <c r="AA2" s="213"/>
      <c r="AB2" s="213"/>
      <c r="AC2" s="213"/>
      <c r="AD2" s="213"/>
    </row>
    <row r="3" spans="1:30">
      <c r="A3" s="213"/>
      <c r="B3" s="213"/>
      <c r="C3" s="213"/>
      <c r="D3" s="213"/>
      <c r="E3" s="213"/>
      <c r="F3" s="213"/>
      <c r="G3" s="213"/>
      <c r="H3" s="213"/>
      <c r="I3" s="213"/>
      <c r="J3" s="213"/>
      <c r="K3" s="213"/>
      <c r="L3" s="213"/>
      <c r="M3" s="213"/>
      <c r="N3" s="213"/>
      <c r="O3" s="213"/>
      <c r="P3" s="213"/>
      <c r="Q3" s="213"/>
      <c r="R3" s="213"/>
      <c r="S3" s="213"/>
      <c r="T3" s="213"/>
      <c r="U3" s="213"/>
      <c r="V3" s="213"/>
      <c r="W3" s="213"/>
      <c r="X3" s="213"/>
      <c r="Y3" s="213"/>
      <c r="Z3" s="213"/>
      <c r="AA3" s="213"/>
      <c r="AB3" s="213"/>
      <c r="AC3" s="213"/>
      <c r="AD3" s="213"/>
    </row>
    <row r="4" spans="1:30">
      <c r="A4" s="213"/>
      <c r="B4" s="213"/>
      <c r="C4" s="213"/>
      <c r="D4" s="213"/>
      <c r="E4" s="213"/>
      <c r="F4" s="213"/>
      <c r="G4" s="213"/>
      <c r="H4" s="213"/>
      <c r="I4" s="213"/>
      <c r="J4" s="213"/>
      <c r="K4" s="213"/>
      <c r="L4" s="213"/>
      <c r="M4" s="213"/>
      <c r="N4" s="213"/>
      <c r="O4" s="213"/>
      <c r="P4" s="213"/>
      <c r="Q4" s="213"/>
      <c r="R4" s="213"/>
      <c r="S4" s="213"/>
      <c r="T4" s="213"/>
      <c r="U4" s="213"/>
      <c r="V4" s="213"/>
      <c r="W4" s="213"/>
      <c r="X4" s="213"/>
      <c r="Y4" s="213"/>
      <c r="Z4" s="213"/>
      <c r="AA4" s="213"/>
      <c r="AB4" s="213"/>
      <c r="AC4" s="213"/>
      <c r="AD4" s="213"/>
    </row>
    <row r="5" spans="1:30">
      <c r="A5" s="52" t="s">
        <v>182</v>
      </c>
    </row>
    <row r="6" spans="1:30">
      <c r="A6" s="52" t="s">
        <v>49</v>
      </c>
    </row>
    <row r="7" spans="1:30">
      <c r="A7" s="52" t="s">
        <v>50</v>
      </c>
    </row>
    <row r="8" spans="1:30">
      <c r="A8" s="52" t="s">
        <v>183</v>
      </c>
    </row>
    <row r="14" spans="1:30" ht="15">
      <c r="A14" s="159" t="s">
        <v>243</v>
      </c>
      <c r="B14" s="158"/>
      <c r="C14" s="158"/>
      <c r="D14" s="158"/>
    </row>
    <row r="17" spans="2:10" ht="15">
      <c r="B17" s="160" t="s">
        <v>244</v>
      </c>
      <c r="C17"/>
      <c r="D17"/>
      <c r="E17"/>
      <c r="F17"/>
      <c r="G17"/>
      <c r="J17" s="160" t="s">
        <v>245</v>
      </c>
    </row>
    <row r="19" spans="2:10">
      <c r="B19" s="52" t="s">
        <v>246</v>
      </c>
    </row>
    <row r="25" spans="2:10" ht="15">
      <c r="B25" s="52" t="s">
        <v>250</v>
      </c>
      <c r="E25" s="52" t="s">
        <v>249</v>
      </c>
      <c r="J25" s="161" t="s">
        <v>248</v>
      </c>
    </row>
    <row r="33" spans="2:10" ht="18">
      <c r="B33" s="163" t="s">
        <v>251</v>
      </c>
      <c r="J33" s="161" t="s">
        <v>485</v>
      </c>
    </row>
    <row r="65" spans="1:11" ht="23.25">
      <c r="A65" s="164" t="s">
        <v>252</v>
      </c>
      <c r="K65" s="161" t="s">
        <v>253</v>
      </c>
    </row>
    <row r="70" spans="1:11" ht="15">
      <c r="C70" s="161" t="s">
        <v>256</v>
      </c>
      <c r="E70" s="161" t="s">
        <v>255</v>
      </c>
    </row>
    <row r="93" spans="1:11" ht="15">
      <c r="A93" s="161" t="s">
        <v>254</v>
      </c>
      <c r="K93" s="161" t="s">
        <v>187</v>
      </c>
    </row>
    <row r="142" spans="1:11" ht="15">
      <c r="A142" s="161" t="s">
        <v>257</v>
      </c>
      <c r="K142" s="161" t="s">
        <v>188</v>
      </c>
    </row>
    <row r="163" spans="1:11" ht="15">
      <c r="A163" s="161" t="s">
        <v>258</v>
      </c>
      <c r="K163" s="161" t="s">
        <v>259</v>
      </c>
    </row>
    <row r="166" spans="1:11">
      <c r="B166" s="52" t="s">
        <v>260</v>
      </c>
    </row>
    <row r="176" spans="1:11" ht="15">
      <c r="K176" s="161" t="s">
        <v>261</v>
      </c>
    </row>
    <row r="190" spans="2:11" ht="15">
      <c r="B190" s="161" t="s">
        <v>263</v>
      </c>
    </row>
    <row r="191" spans="2:11" ht="15">
      <c r="C191" s="52" t="s">
        <v>264</v>
      </c>
      <c r="K191" s="161" t="s">
        <v>262</v>
      </c>
    </row>
    <row r="212" spans="3:11" ht="15">
      <c r="C212" s="52" t="s">
        <v>265</v>
      </c>
      <c r="K212" s="161" t="s">
        <v>266</v>
      </c>
    </row>
    <row r="229" spans="1:11" ht="15">
      <c r="A229" s="52" t="s">
        <v>267</v>
      </c>
      <c r="D229" s="161" t="s">
        <v>289</v>
      </c>
      <c r="K229" s="161" t="s">
        <v>290</v>
      </c>
    </row>
    <row r="237" spans="1:11" ht="15">
      <c r="A237" s="161" t="s">
        <v>268</v>
      </c>
      <c r="K237" s="161" t="s">
        <v>269</v>
      </c>
    </row>
    <row r="248" spans="1:11" ht="15">
      <c r="A248" s="161" t="s">
        <v>270</v>
      </c>
      <c r="K248" s="161" t="s">
        <v>275</v>
      </c>
    </row>
    <row r="250" spans="1:11">
      <c r="D250" s="52" t="s">
        <v>271</v>
      </c>
      <c r="F250" s="52" t="s">
        <v>272</v>
      </c>
    </row>
    <row r="252" spans="1:11">
      <c r="D252" s="52" t="s">
        <v>273</v>
      </c>
      <c r="F252" s="52" t="s">
        <v>274</v>
      </c>
    </row>
    <row r="256" spans="1:11" ht="15">
      <c r="A256" s="161" t="s">
        <v>472</v>
      </c>
    </row>
    <row r="258" spans="1:11" ht="15">
      <c r="D258" s="52" t="s">
        <v>473</v>
      </c>
      <c r="K258" s="161" t="s">
        <v>474</v>
      </c>
    </row>
    <row r="261" spans="1:11" ht="15">
      <c r="A261" s="161" t="s">
        <v>424</v>
      </c>
      <c r="K261" s="161" t="s">
        <v>276</v>
      </c>
    </row>
    <row r="263" spans="1:11">
      <c r="D263" s="52" t="s">
        <v>277</v>
      </c>
      <c r="G263" s="52" t="s">
        <v>278</v>
      </c>
    </row>
    <row r="271" spans="1:11" ht="15">
      <c r="A271" s="161" t="s">
        <v>279</v>
      </c>
      <c r="K271" s="161" t="s">
        <v>282</v>
      </c>
    </row>
    <row r="272" spans="1:11" ht="15">
      <c r="K272" s="161"/>
    </row>
    <row r="273" spans="1:11">
      <c r="B273" s="52" t="s">
        <v>283</v>
      </c>
    </row>
    <row r="274" spans="1:11">
      <c r="C274" s="52" t="s">
        <v>281</v>
      </c>
      <c r="G274" s="52" t="s">
        <v>278</v>
      </c>
    </row>
    <row r="275" spans="1:11">
      <c r="C275" s="165">
        <v>300</v>
      </c>
    </row>
    <row r="278" spans="1:11">
      <c r="B278" s="52" t="s">
        <v>284</v>
      </c>
      <c r="G278" s="52" t="s">
        <v>278</v>
      </c>
    </row>
    <row r="279" spans="1:11">
      <c r="C279" s="52" t="s">
        <v>280</v>
      </c>
    </row>
    <row r="280" spans="1:11">
      <c r="C280" s="165">
        <v>450</v>
      </c>
    </row>
    <row r="285" spans="1:11">
      <c r="G285" s="52" t="s">
        <v>285</v>
      </c>
    </row>
    <row r="288" spans="1:11" ht="15">
      <c r="A288" s="161" t="s">
        <v>286</v>
      </c>
      <c r="K288" s="161" t="s">
        <v>287</v>
      </c>
    </row>
    <row r="290" spans="4:10">
      <c r="D290" s="52" t="s">
        <v>288</v>
      </c>
    </row>
    <row r="298" spans="4:10">
      <c r="J298" s="140"/>
    </row>
    <row r="312" spans="1:11" ht="15">
      <c r="A312" s="52" t="s">
        <v>335</v>
      </c>
      <c r="K312" s="161" t="s">
        <v>336</v>
      </c>
    </row>
    <row r="313" spans="1:11">
      <c r="C313" s="52" t="s">
        <v>346</v>
      </c>
    </row>
    <row r="314" spans="1:11">
      <c r="C314" s="52" t="s">
        <v>345</v>
      </c>
    </row>
    <row r="328" spans="1:12">
      <c r="L328" s="52" t="s">
        <v>87</v>
      </c>
    </row>
    <row r="332" spans="1:12" ht="15">
      <c r="B332" s="178" t="s">
        <v>426</v>
      </c>
      <c r="C332" s="178" t="s">
        <v>425</v>
      </c>
      <c r="K332" s="161" t="s">
        <v>344</v>
      </c>
    </row>
    <row r="333" spans="1:12">
      <c r="A333" s="52" t="s">
        <v>340</v>
      </c>
      <c r="C333" s="165" t="s">
        <v>342</v>
      </c>
    </row>
    <row r="334" spans="1:12">
      <c r="A334" s="52" t="s">
        <v>343</v>
      </c>
      <c r="C334" s="179" t="s">
        <v>341</v>
      </c>
    </row>
    <row r="335" spans="1:12">
      <c r="D335" s="178"/>
    </row>
    <row r="340" spans="1:11" ht="15">
      <c r="A340" s="161" t="s">
        <v>337</v>
      </c>
      <c r="K340" s="161" t="s">
        <v>338</v>
      </c>
    </row>
    <row r="341" spans="1:11">
      <c r="C341" s="52" t="s">
        <v>339</v>
      </c>
    </row>
    <row r="408" spans="1:1" ht="15.75">
      <c r="A408" s="162" t="s">
        <v>347</v>
      </c>
    </row>
    <row r="427" spans="1:11" ht="15">
      <c r="A427" s="161" t="s">
        <v>348</v>
      </c>
      <c r="K427" s="161" t="s">
        <v>355</v>
      </c>
    </row>
    <row r="429" spans="1:11">
      <c r="B429" s="52" t="s">
        <v>349</v>
      </c>
    </row>
    <row r="430" spans="1:11">
      <c r="D430" s="52" t="s">
        <v>350</v>
      </c>
      <c r="H430" s="52" t="s">
        <v>351</v>
      </c>
    </row>
    <row r="432" spans="1:11">
      <c r="B432" s="52" t="s">
        <v>354</v>
      </c>
    </row>
    <row r="433" spans="3:8">
      <c r="D433" s="52" t="s">
        <v>352</v>
      </c>
      <c r="H433" s="52" t="s">
        <v>351</v>
      </c>
    </row>
    <row r="435" spans="3:8">
      <c r="C435" s="52" t="s">
        <v>353</v>
      </c>
    </row>
    <row r="456" spans="1:11" ht="15">
      <c r="A456" s="161" t="s">
        <v>356</v>
      </c>
      <c r="K456" s="161" t="s">
        <v>357</v>
      </c>
    </row>
    <row r="481" spans="1:11">
      <c r="C481" s="52" t="s">
        <v>358</v>
      </c>
    </row>
    <row r="482" spans="1:11">
      <c r="C482" s="52" t="s">
        <v>359</v>
      </c>
    </row>
    <row r="488" spans="1:11" ht="15">
      <c r="A488" s="161" t="s">
        <v>360</v>
      </c>
      <c r="K488" s="161" t="s">
        <v>427</v>
      </c>
    </row>
    <row r="490" spans="1:11">
      <c r="D490" s="52" t="s">
        <v>361</v>
      </c>
      <c r="G490" s="52" t="s">
        <v>362</v>
      </c>
    </row>
    <row r="491" spans="1:11">
      <c r="G491" s="52" t="s">
        <v>363</v>
      </c>
    </row>
    <row r="492" spans="1:11">
      <c r="G492" s="52" t="s">
        <v>364</v>
      </c>
    </row>
    <row r="497" spans="1:11">
      <c r="A497" s="52" t="s">
        <v>365</v>
      </c>
    </row>
    <row r="502" spans="1:11">
      <c r="A502" s="191" t="s">
        <v>409</v>
      </c>
      <c r="B502"/>
      <c r="C502"/>
      <c r="D502"/>
      <c r="E502"/>
      <c r="F502"/>
      <c r="G502"/>
      <c r="H502"/>
      <c r="K502" s="192" t="s">
        <v>190</v>
      </c>
    </row>
    <row r="512" spans="1:11" ht="15">
      <c r="A512" s="161" t="s">
        <v>414</v>
      </c>
      <c r="K512" s="52" t="s">
        <v>430</v>
      </c>
    </row>
    <row r="513" spans="1:11">
      <c r="A513" s="52" t="s">
        <v>410</v>
      </c>
    </row>
    <row r="514" spans="1:11">
      <c r="A514" s="52" t="s">
        <v>411</v>
      </c>
    </row>
    <row r="515" spans="1:11">
      <c r="A515" s="52" t="s">
        <v>412</v>
      </c>
    </row>
    <row r="516" spans="1:11">
      <c r="A516" s="52" t="s">
        <v>413</v>
      </c>
    </row>
    <row r="521" spans="1:11">
      <c r="A521" s="52" t="s">
        <v>415</v>
      </c>
      <c r="D521" s="201" t="s">
        <v>477</v>
      </c>
      <c r="K521" s="52" t="s">
        <v>431</v>
      </c>
    </row>
    <row r="522" spans="1:11">
      <c r="A522" s="52" t="s">
        <v>415</v>
      </c>
      <c r="D522" s="200" t="s">
        <v>476</v>
      </c>
      <c r="K522" s="52" t="s">
        <v>432</v>
      </c>
    </row>
    <row r="528" spans="1:11" ht="15">
      <c r="A528" s="193" t="s">
        <v>428</v>
      </c>
    </row>
    <row r="530" spans="2:11" ht="15">
      <c r="B530" t="s">
        <v>429</v>
      </c>
      <c r="K530" s="195" t="s">
        <v>433</v>
      </c>
    </row>
    <row r="533" spans="2:11" ht="15">
      <c r="B533" s="195" t="s">
        <v>435</v>
      </c>
      <c r="K533" s="195" t="s">
        <v>434</v>
      </c>
    </row>
    <row r="536" spans="2:11" ht="15">
      <c r="B536" t="s">
        <v>436</v>
      </c>
      <c r="K536" s="195" t="s">
        <v>434</v>
      </c>
    </row>
    <row r="549" spans="1:11" ht="15">
      <c r="A549" s="161" t="s">
        <v>437</v>
      </c>
    </row>
    <row r="551" spans="1:11" ht="15">
      <c r="K551" s="194" t="s">
        <v>439</v>
      </c>
    </row>
    <row r="579" spans="1:11" ht="15">
      <c r="A579" s="161" t="s">
        <v>438</v>
      </c>
    </row>
    <row r="580" spans="1:11" ht="15">
      <c r="K580" s="194" t="s">
        <v>440</v>
      </c>
    </row>
    <row r="609" spans="1:11" ht="18">
      <c r="A609" s="163" t="s">
        <v>445</v>
      </c>
      <c r="K609" s="194" t="s">
        <v>446</v>
      </c>
    </row>
    <row r="614" spans="1:11">
      <c r="A614" t="s">
        <v>450</v>
      </c>
      <c r="G614" s="52" t="s">
        <v>447</v>
      </c>
    </row>
    <row r="615" spans="1:11" ht="18.75">
      <c r="H615" s="197" t="s">
        <v>449</v>
      </c>
    </row>
    <row r="616" spans="1:11" ht="18.75">
      <c r="H616" s="197" t="s">
        <v>448</v>
      </c>
    </row>
    <row r="621" spans="1:11">
      <c r="G621" s="52" t="s">
        <v>447</v>
      </c>
    </row>
    <row r="622" spans="1:11" ht="18.75">
      <c r="A622" s="197" t="s">
        <v>451</v>
      </c>
      <c r="H622" s="197" t="s">
        <v>449</v>
      </c>
    </row>
    <row r="623" spans="1:11" ht="18.75">
      <c r="A623" s="197" t="s">
        <v>452</v>
      </c>
      <c r="H623" s="197" t="s">
        <v>448</v>
      </c>
    </row>
    <row r="624" spans="1:11">
      <c r="A624" s="198"/>
    </row>
    <row r="625" spans="1:9" ht="18.75">
      <c r="A625" s="197"/>
    </row>
    <row r="626" spans="1:9" ht="18.75">
      <c r="A626" s="197" t="s">
        <v>453</v>
      </c>
      <c r="C626" s="197"/>
    </row>
    <row r="627" spans="1:9" ht="18.75">
      <c r="A627" s="197" t="s">
        <v>454</v>
      </c>
      <c r="C627" s="197"/>
      <c r="H627" s="197"/>
    </row>
    <row r="629" spans="1:9" ht="18.75">
      <c r="A629" s="197"/>
      <c r="C629" s="197"/>
    </row>
    <row r="630" spans="1:9" ht="18.75">
      <c r="A630" s="52" t="s">
        <v>456</v>
      </c>
      <c r="H630" s="197" t="s">
        <v>455</v>
      </c>
    </row>
    <row r="631" spans="1:9">
      <c r="A631" s="52" t="s">
        <v>457</v>
      </c>
    </row>
    <row r="634" spans="1:9">
      <c r="H634" s="52" t="s">
        <v>460</v>
      </c>
    </row>
    <row r="635" spans="1:9">
      <c r="A635" s="52" t="s">
        <v>458</v>
      </c>
      <c r="I635" s="52" t="s">
        <v>461</v>
      </c>
    </row>
    <row r="636" spans="1:9">
      <c r="A636" s="52" t="s">
        <v>459</v>
      </c>
      <c r="I636" s="52" t="s">
        <v>462</v>
      </c>
    </row>
    <row r="642" spans="1:8" ht="18.75">
      <c r="A642" s="197" t="s">
        <v>463</v>
      </c>
      <c r="H642" s="52" t="s">
        <v>464</v>
      </c>
    </row>
    <row r="643" spans="1:8" ht="18.75">
      <c r="A643" s="197"/>
    </row>
    <row r="647" spans="1:8" ht="18.75">
      <c r="A647" s="197" t="s">
        <v>465</v>
      </c>
      <c r="H647" s="199" t="s">
        <v>467</v>
      </c>
    </row>
    <row r="648" spans="1:8" ht="18.75">
      <c r="A648" s="197" t="s">
        <v>466</v>
      </c>
      <c r="H648" s="197"/>
    </row>
    <row r="649" spans="1:8" ht="18.75">
      <c r="A649" s="197"/>
    </row>
    <row r="651" spans="1:8">
      <c r="A651" t="s">
        <v>468</v>
      </c>
      <c r="H651" s="52" t="s">
        <v>469</v>
      </c>
    </row>
    <row r="654" spans="1:8">
      <c r="A654" t="s">
        <v>470</v>
      </c>
      <c r="H654" t="s">
        <v>471</v>
      </c>
    </row>
  </sheetData>
  <mergeCells count="2">
    <mergeCell ref="A1:O4"/>
    <mergeCell ref="P1:AD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30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30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30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5" spans="1:30">
      <c r="A5" t="s">
        <v>27</v>
      </c>
    </row>
    <row r="10" spans="1:30">
      <c r="AD10" t="s">
        <v>79</v>
      </c>
    </row>
    <row r="20" spans="3:14">
      <c r="C20" t="s">
        <v>98</v>
      </c>
    </row>
    <row r="31" spans="3:14">
      <c r="N31" t="s">
        <v>99</v>
      </c>
    </row>
    <row r="34" spans="73:91">
      <c r="BU34" t="s">
        <v>82</v>
      </c>
    </row>
    <row r="36" spans="73:91">
      <c r="CE36" t="s">
        <v>86</v>
      </c>
    </row>
    <row r="37" spans="73:91">
      <c r="BU37" t="s">
        <v>81</v>
      </c>
    </row>
    <row r="38" spans="73:91">
      <c r="CM38" s="93">
        <v>41.3</v>
      </c>
    </row>
    <row r="56" spans="9:73">
      <c r="I56" s="214" t="s">
        <v>78</v>
      </c>
      <c r="J56" s="214"/>
      <c r="K56" s="214"/>
      <c r="L56" s="214"/>
      <c r="BU56" t="s">
        <v>80</v>
      </c>
    </row>
    <row r="67" spans="73:73">
      <c r="BU67" t="s">
        <v>83</v>
      </c>
    </row>
    <row r="102" spans="33:33">
      <c r="AG102" t="s">
        <v>84</v>
      </c>
    </row>
    <row r="137" spans="35:35">
      <c r="AI137" t="s">
        <v>85</v>
      </c>
    </row>
    <row r="141" spans="35:35">
      <c r="AI141" t="s">
        <v>97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15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15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15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5" spans="1:15">
      <c r="A5" t="s">
        <v>27</v>
      </c>
    </row>
    <row r="17" spans="3:24">
      <c r="C17" t="s">
        <v>110</v>
      </c>
      <c r="N17" t="s">
        <v>112</v>
      </c>
      <c r="X17" t="s">
        <v>111</v>
      </c>
    </row>
    <row r="38" spans="91:91">
      <c r="CM38" s="93"/>
    </row>
    <row r="56" spans="9:12">
      <c r="I56" s="214"/>
      <c r="J56" s="214"/>
      <c r="K56" s="214"/>
      <c r="L56" s="214"/>
    </row>
    <row r="102" spans="33:33">
      <c r="AG102" t="s">
        <v>84</v>
      </c>
    </row>
    <row r="213" spans="1:1">
      <c r="A213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11" t="s">
        <v>14</v>
      </c>
      <c r="B1" s="211"/>
      <c r="C1" s="211"/>
      <c r="D1" s="211"/>
      <c r="E1" s="211"/>
      <c r="F1" s="211"/>
      <c r="G1" s="211" t="s">
        <v>30</v>
      </c>
      <c r="H1" s="211"/>
      <c r="I1" s="211"/>
      <c r="J1" s="211"/>
      <c r="K1" s="211"/>
      <c r="L1" s="211"/>
      <c r="M1" s="26"/>
      <c r="N1" s="26"/>
    </row>
    <row r="2" spans="1:14">
      <c r="A2" s="211"/>
      <c r="B2" s="211"/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6"/>
      <c r="N2" s="26"/>
    </row>
    <row r="3" spans="1:14">
      <c r="A3" s="211"/>
      <c r="B3" s="211"/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6"/>
      <c r="N3" s="26"/>
    </row>
    <row r="4" spans="1:14">
      <c r="A4" s="211"/>
      <c r="B4" s="211"/>
      <c r="C4" s="211"/>
      <c r="D4" s="211"/>
      <c r="E4" s="211"/>
      <c r="F4" s="211"/>
      <c r="G4" s="211"/>
      <c r="H4" s="211"/>
      <c r="I4" s="211"/>
      <c r="J4" s="211"/>
      <c r="K4" s="211"/>
      <c r="L4" s="211"/>
      <c r="M4" s="26"/>
      <c r="N4" s="26"/>
    </row>
    <row r="5" spans="1:14">
      <c r="A5" s="24" t="s">
        <v>27</v>
      </c>
    </row>
    <row r="17" spans="3:24">
      <c r="C17" s="24" t="s">
        <v>110</v>
      </c>
      <c r="N17" s="24" t="s">
        <v>112</v>
      </c>
      <c r="X17" s="24" t="s">
        <v>111</v>
      </c>
    </row>
    <row r="38" spans="91:91">
      <c r="CM38" s="98"/>
    </row>
    <row r="56" spans="9:12">
      <c r="I56" s="215"/>
      <c r="J56" s="215"/>
      <c r="K56" s="215"/>
      <c r="L56" s="215"/>
    </row>
    <row r="102" spans="33:33">
      <c r="AG102" s="24" t="s">
        <v>84</v>
      </c>
    </row>
    <row r="213" spans="1:1">
      <c r="A213" s="24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15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15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15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9" spans="1:15">
      <c r="A9" t="s">
        <v>116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2017-09-13T09:42:11Z</dcterms:modified>
</cp:coreProperties>
</file>